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Old C drive\Microwav101\"/>
    </mc:Choice>
  </mc:AlternateContent>
  <bookViews>
    <workbookView xWindow="0" yWindow="0" windowWidth="15150" windowHeight="8025"/>
  </bookViews>
  <sheets>
    <sheet name="Read me" sheetId="2" r:id="rId1"/>
    <sheet name="Standard WG plot" sheetId="10" r:id="rId2"/>
    <sheet name="Standard WGs" sheetId="9" r:id="rId3"/>
    <sheet name="Custom WG plot1" sheetId="8" r:id="rId4"/>
    <sheet name="Custom WG plot2" sheetId="11" r:id="rId5"/>
    <sheet name="Wave Impedance" sheetId="13" r:id="rId6"/>
    <sheet name="Custom WG" sheetId="7" r:id="rId7"/>
    <sheet name="Waveguide Table" sheetId="6" r:id="rId8"/>
  </sheets>
  <calcPr calcId="152511"/>
</workbook>
</file>

<file path=xl/calcChain.xml><?xml version="1.0" encoding="utf-8"?>
<calcChain xmlns="http://schemas.openxmlformats.org/spreadsheetml/2006/main">
  <c r="Z9" i="9" l="1"/>
  <c r="Z10" i="9"/>
  <c r="Z11" i="9"/>
  <c r="Z12" i="9"/>
  <c r="Z13" i="9"/>
  <c r="Z14" i="9"/>
  <c r="Z15" i="9"/>
  <c r="Z16" i="9"/>
  <c r="Z17" i="9"/>
  <c r="Z18" i="9"/>
  <c r="Z19" i="9"/>
  <c r="Z20" i="9"/>
  <c r="Z21" i="9"/>
  <c r="Z22" i="9"/>
  <c r="Z23" i="9"/>
  <c r="Z24" i="9"/>
  <c r="Z25" i="9"/>
  <c r="Z26" i="9"/>
  <c r="AB9" i="9" l="1"/>
  <c r="AB10" i="9"/>
  <c r="AB11" i="9"/>
  <c r="AB12" i="9"/>
  <c r="AB13" i="9"/>
  <c r="AB14" i="9"/>
  <c r="AB15" i="9"/>
  <c r="AB16" i="9"/>
  <c r="AB17" i="9"/>
  <c r="AB18" i="9"/>
  <c r="AB19" i="9"/>
  <c r="AB20" i="9"/>
  <c r="AB21" i="9"/>
  <c r="AB22" i="9"/>
  <c r="AB23" i="9"/>
  <c r="AB24" i="9"/>
  <c r="AB25" i="9"/>
  <c r="X9" i="9"/>
  <c r="X10" i="9"/>
  <c r="X11" i="9"/>
  <c r="X12" i="9"/>
  <c r="X13" i="9"/>
  <c r="X14" i="9"/>
  <c r="X15" i="9"/>
  <c r="X16" i="9"/>
  <c r="X17" i="9"/>
  <c r="X18" i="9"/>
  <c r="X19" i="9"/>
  <c r="X20" i="9"/>
  <c r="X21" i="9"/>
  <c r="X22" i="9"/>
  <c r="X23" i="9"/>
  <c r="X24" i="9"/>
  <c r="X25" i="9"/>
  <c r="X26" i="9"/>
  <c r="V9" i="9"/>
  <c r="V10" i="9"/>
  <c r="V11" i="9"/>
  <c r="V12" i="9"/>
  <c r="V13" i="9"/>
  <c r="V14" i="9"/>
  <c r="V15" i="9"/>
  <c r="V16" i="9"/>
  <c r="V17" i="9"/>
  <c r="V18" i="9"/>
  <c r="V19" i="9"/>
  <c r="V20" i="9"/>
  <c r="V21" i="9"/>
  <c r="V22" i="9"/>
  <c r="V23" i="9"/>
  <c r="V24" i="9"/>
  <c r="V25" i="9"/>
  <c r="V26" i="9"/>
  <c r="T9" i="9"/>
  <c r="T10" i="9"/>
  <c r="T11" i="9"/>
  <c r="T12" i="9"/>
  <c r="T13" i="9"/>
  <c r="T14" i="9"/>
  <c r="T15" i="9"/>
  <c r="T16" i="9"/>
  <c r="T17" i="9"/>
  <c r="T18" i="9"/>
  <c r="T19" i="9"/>
  <c r="T20" i="9"/>
  <c r="T21" i="9"/>
  <c r="T22" i="9"/>
  <c r="T23" i="9"/>
  <c r="T24" i="9"/>
  <c r="T25" i="9"/>
  <c r="T26" i="9"/>
  <c r="R9" i="9"/>
  <c r="R10" i="9"/>
  <c r="R11" i="9"/>
  <c r="R12" i="9"/>
  <c r="R13" i="9"/>
  <c r="R14" i="9"/>
  <c r="R15" i="9"/>
  <c r="R16" i="9"/>
  <c r="R17" i="9"/>
  <c r="R18" i="9"/>
  <c r="R19" i="9"/>
  <c r="R20" i="9"/>
  <c r="R21" i="9"/>
  <c r="R22" i="9"/>
  <c r="R23" i="9"/>
  <c r="R24" i="9"/>
  <c r="R25" i="9"/>
  <c r="R26" i="9"/>
  <c r="P9" i="9"/>
  <c r="P10" i="9"/>
  <c r="P11" i="9"/>
  <c r="P12" i="9"/>
  <c r="P13" i="9"/>
  <c r="P14" i="9"/>
  <c r="P15" i="9"/>
  <c r="P16" i="9"/>
  <c r="P17" i="9"/>
  <c r="P18" i="9"/>
  <c r="P19" i="9"/>
  <c r="P20" i="9"/>
  <c r="P21" i="9"/>
  <c r="P22" i="9"/>
  <c r="P23" i="9"/>
  <c r="P24" i="9"/>
  <c r="P25" i="9"/>
  <c r="P26" i="9"/>
  <c r="N9" i="9"/>
  <c r="N10" i="9"/>
  <c r="N11" i="9"/>
  <c r="N12" i="9"/>
  <c r="N13" i="9"/>
  <c r="N14" i="9"/>
  <c r="N15" i="9"/>
  <c r="N16" i="9"/>
  <c r="N17" i="9"/>
  <c r="N18" i="9"/>
  <c r="N19" i="9"/>
  <c r="N20" i="9"/>
  <c r="N21" i="9"/>
  <c r="N22" i="9"/>
  <c r="N23" i="9"/>
  <c r="N24" i="9"/>
  <c r="N25" i="9"/>
  <c r="N26" i="9"/>
  <c r="L9" i="9"/>
  <c r="L10" i="9"/>
  <c r="L11" i="9"/>
  <c r="L12" i="9"/>
  <c r="L13" i="9"/>
  <c r="L14" i="9"/>
  <c r="L15" i="9"/>
  <c r="L16" i="9"/>
  <c r="L17" i="9"/>
  <c r="L18" i="9"/>
  <c r="L19" i="9"/>
  <c r="L20" i="9"/>
  <c r="L21" i="9"/>
  <c r="L22" i="9"/>
  <c r="L23" i="9"/>
  <c r="L24" i="9"/>
  <c r="L25" i="9"/>
  <c r="L26" i="9"/>
  <c r="AB8" i="9"/>
  <c r="Z8" i="9"/>
  <c r="X8" i="9"/>
  <c r="V8" i="9"/>
  <c r="T8" i="9"/>
  <c r="R8" i="9"/>
  <c r="P8" i="9"/>
  <c r="N8" i="9"/>
  <c r="L8" i="9"/>
  <c r="AH31" i="9" l="1"/>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30" i="9"/>
  <c r="AA6" i="9"/>
  <c r="Y6" i="9"/>
  <c r="W6" i="9"/>
  <c r="U6" i="9"/>
  <c r="S6" i="9"/>
  <c r="Q6" i="9"/>
  <c r="O6" i="9"/>
  <c r="M6" i="9"/>
  <c r="K6" i="9"/>
  <c r="B262" i="9"/>
  <c r="B256" i="9"/>
  <c r="B237" i="9"/>
  <c r="B231" i="9"/>
  <c r="B212" i="9"/>
  <c r="B206" i="9"/>
  <c r="B187" i="9"/>
  <c r="B181" i="9"/>
  <c r="B162" i="9"/>
  <c r="B156" i="9"/>
  <c r="B137" i="9"/>
  <c r="B131" i="9"/>
  <c r="B112" i="9"/>
  <c r="B106" i="9"/>
  <c r="B56" i="9"/>
  <c r="B81" i="9"/>
  <c r="B87" i="9"/>
  <c r="B62" i="9"/>
  <c r="B37" i="9"/>
  <c r="B31" i="9"/>
  <c r="AB26" i="9" s="1"/>
  <c r="AI69" i="9" l="1"/>
  <c r="AI66" i="9"/>
  <c r="AI62" i="9"/>
  <c r="AI58" i="9"/>
  <c r="AI50" i="9"/>
  <c r="AI49" i="9"/>
  <c r="AI36" i="9"/>
  <c r="AI35" i="9"/>
  <c r="AI34" i="9"/>
  <c r="AI33" i="9"/>
  <c r="AI32" i="9"/>
  <c r="AI31" i="9"/>
  <c r="AI30" i="9"/>
  <c r="AI40" i="9"/>
  <c r="AI48" i="9"/>
  <c r="B264" i="9" l="1"/>
  <c r="B239" i="9"/>
  <c r="B214" i="9"/>
  <c r="B189" i="9"/>
  <c r="B164" i="9"/>
  <c r="B139" i="9"/>
  <c r="B114" i="9"/>
  <c r="B89" i="9"/>
  <c r="B64" i="9"/>
  <c r="B39" i="9"/>
  <c r="I6" i="9"/>
  <c r="C13" i="7"/>
  <c r="C24" i="7"/>
  <c r="C25" i="7" s="1"/>
  <c r="AB44" i="7"/>
  <c r="AC44" i="7" s="1"/>
  <c r="AD44" i="7" s="1"/>
  <c r="AB66" i="7"/>
  <c r="AC66" i="7" s="1"/>
  <c r="AD66" i="7" s="1"/>
  <c r="AB65" i="7"/>
  <c r="AC65" i="7" s="1"/>
  <c r="AD65" i="7" s="1"/>
  <c r="AB64" i="7"/>
  <c r="AC64" i="7" s="1"/>
  <c r="AD64" i="7" s="1"/>
  <c r="AB63" i="7"/>
  <c r="AC63" i="7" s="1"/>
  <c r="AD63" i="7" s="1"/>
  <c r="AB62" i="7"/>
  <c r="AC62" i="7" s="1"/>
  <c r="AD62" i="7" s="1"/>
  <c r="AB61" i="7"/>
  <c r="AC61" i="7" s="1"/>
  <c r="AD61" i="7" s="1"/>
  <c r="AB60" i="7"/>
  <c r="AC60" i="7" s="1"/>
  <c r="AD60" i="7" s="1"/>
  <c r="AB58" i="7"/>
  <c r="AC58" i="7" s="1"/>
  <c r="AD58" i="7" s="1"/>
  <c r="AB57" i="7"/>
  <c r="AC57" i="7"/>
  <c r="AD57" i="7"/>
  <c r="AB56" i="7"/>
  <c r="AC56" i="7"/>
  <c r="AD56" i="7"/>
  <c r="AB55" i="7"/>
  <c r="AC55" i="7"/>
  <c r="AD55" i="7" s="1"/>
  <c r="AB54" i="7"/>
  <c r="AC54" i="7"/>
  <c r="AD54" i="7" s="1"/>
  <c r="AB53" i="7"/>
  <c r="AC53" i="7"/>
  <c r="AD53" i="7" s="1"/>
  <c r="AB52" i="7"/>
  <c r="AC52" i="7" s="1"/>
  <c r="AD52" i="7" s="1"/>
  <c r="AB51" i="7"/>
  <c r="AC51" i="7" s="1"/>
  <c r="AD51" i="7" s="1"/>
  <c r="C12" i="7" s="1"/>
  <c r="AB50" i="7"/>
  <c r="AC50" i="7" s="1"/>
  <c r="AD50" i="7" s="1"/>
  <c r="AB49" i="7"/>
  <c r="AC49" i="7"/>
  <c r="AD49" i="7"/>
  <c r="AB48" i="7"/>
  <c r="AC48" i="7"/>
  <c r="AD48" i="7"/>
  <c r="AB47" i="7"/>
  <c r="AC47" i="7"/>
  <c r="AD47" i="7" s="1"/>
  <c r="AB46" i="7"/>
  <c r="AC46" i="7"/>
  <c r="AD46" i="7" s="1"/>
  <c r="AB45" i="7"/>
  <c r="AC45" i="7"/>
  <c r="AD45" i="7" s="1"/>
  <c r="AB43" i="7"/>
  <c r="AC43" i="7" s="1"/>
  <c r="AD43" i="7" s="1"/>
  <c r="AB42" i="7"/>
  <c r="AC42" i="7" s="1"/>
  <c r="AD42" i="7" s="1"/>
  <c r="AB39" i="7"/>
  <c r="AC39" i="7" s="1"/>
  <c r="AD39" i="7" s="1"/>
  <c r="AB38" i="7"/>
  <c r="AC38" i="7"/>
  <c r="AD38" i="7"/>
  <c r="AB37" i="7"/>
  <c r="AC37" i="7"/>
  <c r="AD37" i="7"/>
  <c r="AB36" i="7"/>
  <c r="AC36" i="7"/>
  <c r="AD36" i="7" s="1"/>
  <c r="AF115" i="9"/>
  <c r="AG115" i="9"/>
  <c r="AH115" i="9" s="1"/>
  <c r="AF114" i="9"/>
  <c r="AG114" i="9" s="1"/>
  <c r="AH114" i="9"/>
  <c r="AF113" i="9"/>
  <c r="AG113" i="9" s="1"/>
  <c r="AH113" i="9" s="1"/>
  <c r="AF112" i="9"/>
  <c r="AG112" i="9" s="1"/>
  <c r="AH112" i="9" s="1"/>
  <c r="AF111" i="9"/>
  <c r="AG111" i="9"/>
  <c r="AH111" i="9" s="1"/>
  <c r="AF110" i="9"/>
  <c r="AG110" i="9" s="1"/>
  <c r="AH110" i="9"/>
  <c r="AF109" i="9"/>
  <c r="AG109" i="9" s="1"/>
  <c r="AH109" i="9" s="1"/>
  <c r="AF107" i="9"/>
  <c r="AG107" i="9" s="1"/>
  <c r="AH107" i="9" s="1"/>
  <c r="AF106" i="9"/>
  <c r="AG106" i="9"/>
  <c r="AH106" i="9" s="1"/>
  <c r="AF105" i="9"/>
  <c r="AG105" i="9" s="1"/>
  <c r="AH105" i="9"/>
  <c r="AF104" i="9"/>
  <c r="AG104" i="9" s="1"/>
  <c r="AH104" i="9" s="1"/>
  <c r="AF103" i="9"/>
  <c r="AG103" i="9" s="1"/>
  <c r="AH103" i="9" s="1"/>
  <c r="AF102" i="9"/>
  <c r="AG102" i="9"/>
  <c r="AH102" i="9" s="1"/>
  <c r="AF101" i="9"/>
  <c r="AG101" i="9" s="1"/>
  <c r="AH101" i="9"/>
  <c r="AF100" i="9"/>
  <c r="AG100" i="9" s="1"/>
  <c r="AH100" i="9" s="1"/>
  <c r="AF99" i="9"/>
  <c r="AG99" i="9" s="1"/>
  <c r="AH99" i="9" s="1"/>
  <c r="AF98" i="9"/>
  <c r="AG98" i="9"/>
  <c r="AH98" i="9" s="1"/>
  <c r="AF97" i="9"/>
  <c r="AG97" i="9" s="1"/>
  <c r="AH97" i="9"/>
  <c r="AF96" i="9"/>
  <c r="AG96" i="9" s="1"/>
  <c r="AH96" i="9" s="1"/>
  <c r="AF95" i="9"/>
  <c r="AG95" i="9" s="1"/>
  <c r="AH95" i="9" s="1"/>
  <c r="AF94" i="9"/>
  <c r="AG94" i="9"/>
  <c r="AH94" i="9" s="1"/>
  <c r="AF93" i="9"/>
  <c r="AG93" i="9" s="1"/>
  <c r="AH93" i="9"/>
  <c r="B188" i="9" s="1"/>
  <c r="AF92" i="9"/>
  <c r="AG92" i="9" s="1"/>
  <c r="AH92" i="9" s="1"/>
  <c r="AF91" i="9"/>
  <c r="AG91" i="9" s="1"/>
  <c r="AH91" i="9" s="1"/>
  <c r="AF88" i="9"/>
  <c r="AG88" i="9"/>
  <c r="AH88" i="9" s="1"/>
  <c r="AF87" i="9"/>
  <c r="AG87" i="9" s="1"/>
  <c r="AH87" i="9"/>
  <c r="AF86" i="9"/>
  <c r="AG86" i="9" s="1"/>
  <c r="AH86" i="9" s="1"/>
  <c r="AF85" i="9"/>
  <c r="AG85" i="9" s="1"/>
  <c r="AH85" i="9" s="1"/>
  <c r="B232" i="9"/>
  <c r="D232" i="9" s="1"/>
  <c r="F232" i="9" s="1"/>
  <c r="B234" i="9" s="1"/>
  <c r="B235" i="9" s="1"/>
  <c r="B233" i="9"/>
  <c r="D233" i="9" s="1"/>
  <c r="F233" i="9" s="1"/>
  <c r="B182" i="9"/>
  <c r="D182" i="9" s="1"/>
  <c r="F182" i="9" s="1"/>
  <c r="B184" i="9" s="1"/>
  <c r="B185" i="9" s="1"/>
  <c r="B183" i="9"/>
  <c r="D183" i="9" s="1"/>
  <c r="F183" i="9" s="1"/>
  <c r="B132" i="9"/>
  <c r="D132" i="9" s="1"/>
  <c r="F132" i="9" s="1"/>
  <c r="B134" i="9" s="1"/>
  <c r="B135" i="9" s="1"/>
  <c r="B133" i="9"/>
  <c r="D133" i="9" s="1"/>
  <c r="F133" i="9" s="1"/>
  <c r="B257" i="9"/>
  <c r="D257" i="9" s="1"/>
  <c r="F257" i="9" s="1"/>
  <c r="B258" i="9"/>
  <c r="D258" i="9" s="1"/>
  <c r="F258" i="9" s="1"/>
  <c r="B207" i="9"/>
  <c r="D207" i="9" s="1"/>
  <c r="F207" i="9" s="1"/>
  <c r="B209" i="9" s="1"/>
  <c r="B210" i="9" s="1"/>
  <c r="B208" i="9"/>
  <c r="D208" i="9" s="1"/>
  <c r="F208" i="9" s="1"/>
  <c r="B157" i="9"/>
  <c r="D157" i="9" s="1"/>
  <c r="F157" i="9" s="1"/>
  <c r="B159" i="9" s="1"/>
  <c r="B160" i="9" s="1"/>
  <c r="B158" i="9"/>
  <c r="D158" i="9" s="1"/>
  <c r="F158" i="9" s="1"/>
  <c r="B107" i="9"/>
  <c r="D107" i="9" s="1"/>
  <c r="F107" i="9" s="1"/>
  <c r="B109" i="9" s="1"/>
  <c r="B110" i="9" s="1"/>
  <c r="B108" i="9"/>
  <c r="D108" i="9" s="1"/>
  <c r="F108" i="9" s="1"/>
  <c r="B82" i="9"/>
  <c r="D82" i="9" s="1"/>
  <c r="F82" i="9" s="1"/>
  <c r="B84" i="9" s="1"/>
  <c r="B85" i="9" s="1"/>
  <c r="B83" i="9"/>
  <c r="D83" i="9" s="1"/>
  <c r="F83" i="9" s="1"/>
  <c r="B57" i="9"/>
  <c r="D57" i="9" s="1"/>
  <c r="F57" i="9" s="1"/>
  <c r="B58" i="9"/>
  <c r="D58" i="9" s="1"/>
  <c r="F58" i="9" s="1"/>
  <c r="B33" i="9"/>
  <c r="D33" i="9" s="1"/>
  <c r="F33" i="9" s="1"/>
  <c r="B32" i="9"/>
  <c r="D32" i="9" s="1"/>
  <c r="F32" i="9" s="1"/>
  <c r="B34" i="9" s="1"/>
  <c r="B35" i="9" s="1"/>
  <c r="B7" i="9"/>
  <c r="AI37" i="9"/>
  <c r="AI38" i="9"/>
  <c r="AI39" i="9"/>
  <c r="AI41" i="9"/>
  <c r="AI42" i="9"/>
  <c r="AI43" i="9"/>
  <c r="AI44" i="9"/>
  <c r="AI45" i="9"/>
  <c r="AI46" i="9"/>
  <c r="AI47" i="9"/>
  <c r="AI51" i="9"/>
  <c r="AI52" i="9"/>
  <c r="AI53" i="9"/>
  <c r="AI54" i="9"/>
  <c r="B9" i="9"/>
  <c r="AI55" i="9"/>
  <c r="AI56" i="9"/>
  <c r="AI57" i="9"/>
  <c r="AI59" i="9"/>
  <c r="AI60" i="9"/>
  <c r="AI61" i="9"/>
  <c r="AI63" i="9"/>
  <c r="AI64" i="9"/>
  <c r="AI65" i="9"/>
  <c r="AI67" i="9"/>
  <c r="AI68" i="9"/>
  <c r="AI70" i="9"/>
  <c r="AI71" i="9"/>
  <c r="AI72" i="9"/>
  <c r="AI73" i="9"/>
  <c r="AI74" i="9"/>
  <c r="AI75" i="9"/>
  <c r="AI76" i="9"/>
  <c r="AI77" i="9"/>
  <c r="C22" i="7"/>
  <c r="E3" i="7"/>
  <c r="G3" i="7"/>
  <c r="C5" i="7" s="1"/>
  <c r="E29" i="7"/>
  <c r="E4" i="7"/>
  <c r="G4" i="7" s="1"/>
  <c r="C8" i="7"/>
  <c r="C20" i="7"/>
  <c r="C21" i="7"/>
  <c r="D35" i="7"/>
  <c r="E35" i="7" l="1"/>
  <c r="C6" i="7"/>
  <c r="C7" i="7" s="1"/>
  <c r="B38" i="7" s="1"/>
  <c r="F35" i="7"/>
  <c r="B259" i="9"/>
  <c r="B38" i="9"/>
  <c r="B113" i="9"/>
  <c r="B59" i="9"/>
  <c r="B60" i="9" s="1"/>
  <c r="B263" i="9"/>
  <c r="B63" i="9"/>
  <c r="B238" i="9"/>
  <c r="B163" i="9"/>
  <c r="B88" i="9"/>
  <c r="B11" i="9"/>
  <c r="B8" i="9"/>
  <c r="B86" i="9" s="1"/>
  <c r="I82" i="9" s="1"/>
  <c r="B138" i="9"/>
  <c r="B213" i="9"/>
  <c r="B36" i="9" l="1"/>
  <c r="I32" i="9" s="1"/>
  <c r="I8" i="9" s="1"/>
  <c r="D38" i="7"/>
  <c r="B39" i="7"/>
  <c r="E38" i="7"/>
  <c r="P35" i="7"/>
  <c r="M35" i="7"/>
  <c r="O35" i="7" s="1"/>
  <c r="T35" i="7"/>
  <c r="G35" i="7"/>
  <c r="H35" i="7" s="1"/>
  <c r="I35" i="7"/>
  <c r="J35" i="7" s="1"/>
  <c r="N35" i="7"/>
  <c r="K82" i="9"/>
  <c r="M8" i="9"/>
  <c r="B260" i="9"/>
  <c r="B61" i="9"/>
  <c r="I57" i="9" s="1"/>
  <c r="J32" i="9"/>
  <c r="L32" i="9" s="1"/>
  <c r="P32" i="9" s="1"/>
  <c r="I83" i="9"/>
  <c r="J82" i="9"/>
  <c r="B236" i="9"/>
  <c r="I232" i="9" s="1"/>
  <c r="Y8" i="9" s="1"/>
  <c r="B211" i="9"/>
  <c r="I207" i="9" s="1"/>
  <c r="W8" i="9" s="1"/>
  <c r="B161" i="9"/>
  <c r="I157" i="9" s="1"/>
  <c r="S8" i="9" s="1"/>
  <c r="B111" i="9"/>
  <c r="I107" i="9" s="1"/>
  <c r="O8" i="9" s="1"/>
  <c r="B186" i="9"/>
  <c r="I182" i="9" s="1"/>
  <c r="U8" i="9" s="1"/>
  <c r="B261" i="9"/>
  <c r="I257" i="9" s="1"/>
  <c r="AA8" i="9" s="1"/>
  <c r="B136" i="9"/>
  <c r="I132" i="9" s="1"/>
  <c r="Q8" i="9" s="1"/>
  <c r="L82" i="9"/>
  <c r="P82" i="9" s="1"/>
  <c r="I33" i="9" l="1"/>
  <c r="J33" i="9" s="1"/>
  <c r="L33" i="9" s="1"/>
  <c r="P33" i="9" s="1"/>
  <c r="K32" i="9"/>
  <c r="M32" i="9" s="1"/>
  <c r="N32" i="9" s="1"/>
  <c r="J8" i="9" s="1"/>
  <c r="B40" i="7"/>
  <c r="E39" i="7"/>
  <c r="D39" i="7"/>
  <c r="F38" i="7"/>
  <c r="I38" i="7"/>
  <c r="J38" i="7" s="1"/>
  <c r="T38" i="7"/>
  <c r="K35" i="7"/>
  <c r="J83" i="9"/>
  <c r="L83" i="9" s="1"/>
  <c r="P83" i="9" s="1"/>
  <c r="M9" i="9"/>
  <c r="J57" i="9"/>
  <c r="L57" i="9" s="1"/>
  <c r="K8" i="9"/>
  <c r="K57" i="9"/>
  <c r="M82" i="9"/>
  <c r="N82" i="9" s="1"/>
  <c r="O82" i="9" s="1"/>
  <c r="I84" i="9"/>
  <c r="K83" i="9"/>
  <c r="I58" i="9"/>
  <c r="K9" i="9" s="1"/>
  <c r="I183" i="9"/>
  <c r="U9" i="9" s="1"/>
  <c r="K182" i="9"/>
  <c r="J182" i="9"/>
  <c r="I233" i="9"/>
  <c r="Y9" i="9" s="1"/>
  <c r="J232" i="9"/>
  <c r="K232" i="9"/>
  <c r="J107" i="9"/>
  <c r="I108" i="9"/>
  <c r="O9" i="9" s="1"/>
  <c r="K107" i="9"/>
  <c r="I133" i="9"/>
  <c r="Q9" i="9" s="1"/>
  <c r="K132" i="9"/>
  <c r="J132" i="9"/>
  <c r="I158" i="9"/>
  <c r="S9" i="9" s="1"/>
  <c r="J157" i="9"/>
  <c r="K157" i="9"/>
  <c r="J257" i="9"/>
  <c r="K257" i="9"/>
  <c r="I258" i="9"/>
  <c r="AA9" i="9" s="1"/>
  <c r="K207" i="9"/>
  <c r="I208" i="9"/>
  <c r="W9" i="9" s="1"/>
  <c r="J207" i="9"/>
  <c r="I34" i="9" l="1"/>
  <c r="K34" i="9" s="1"/>
  <c r="I9" i="9"/>
  <c r="K33" i="9"/>
  <c r="M33" i="9" s="1"/>
  <c r="N33" i="9" s="1"/>
  <c r="O32" i="9"/>
  <c r="D40" i="7"/>
  <c r="E40" i="7"/>
  <c r="B41" i="7"/>
  <c r="P38" i="7"/>
  <c r="M38" i="7"/>
  <c r="O38" i="7" s="1"/>
  <c r="G38" i="7"/>
  <c r="H38" i="7" s="1"/>
  <c r="K38" i="7" s="1"/>
  <c r="N38" i="7"/>
  <c r="F39" i="7"/>
  <c r="I39" i="7" s="1"/>
  <c r="J39" i="7" s="1"/>
  <c r="I85" i="9"/>
  <c r="M11" i="9" s="1"/>
  <c r="M10" i="9"/>
  <c r="M57" i="9"/>
  <c r="N57" i="9" s="1"/>
  <c r="O57" i="9" s="1"/>
  <c r="P57" i="9"/>
  <c r="I10" i="9"/>
  <c r="K84" i="9"/>
  <c r="J84" i="9"/>
  <c r="L84" i="9" s="1"/>
  <c r="M83" i="9"/>
  <c r="N83" i="9" s="1"/>
  <c r="O83" i="9" s="1"/>
  <c r="I59" i="9"/>
  <c r="K10" i="9" s="1"/>
  <c r="K58" i="9"/>
  <c r="J58" i="9"/>
  <c r="L58" i="9" s="1"/>
  <c r="K208" i="9"/>
  <c r="I209" i="9"/>
  <c r="W10" i="9" s="1"/>
  <c r="J208" i="9"/>
  <c r="L132" i="9"/>
  <c r="M132" i="9" s="1"/>
  <c r="N132" i="9" s="1"/>
  <c r="O132" i="9" s="1"/>
  <c r="L232" i="9"/>
  <c r="P232" i="9" s="1"/>
  <c r="L107" i="9"/>
  <c r="P107" i="9" s="1"/>
  <c r="J233" i="9"/>
  <c r="I234" i="9"/>
  <c r="Y10" i="9" s="1"/>
  <c r="K233" i="9"/>
  <c r="K258" i="9"/>
  <c r="J258" i="9"/>
  <c r="I259" i="9"/>
  <c r="AA10" i="9" s="1"/>
  <c r="L157" i="9"/>
  <c r="M157" i="9" s="1"/>
  <c r="N157" i="9" s="1"/>
  <c r="O157" i="9" s="1"/>
  <c r="K133" i="9"/>
  <c r="I134" i="9"/>
  <c r="Q10" i="9" s="1"/>
  <c r="J133" i="9"/>
  <c r="L182" i="9"/>
  <c r="M182" i="9" s="1"/>
  <c r="N182" i="9" s="1"/>
  <c r="O182" i="9" s="1"/>
  <c r="L257" i="9"/>
  <c r="P257" i="9" s="1"/>
  <c r="K108" i="9"/>
  <c r="J108" i="9"/>
  <c r="I109" i="9"/>
  <c r="O10" i="9" s="1"/>
  <c r="K183" i="9"/>
  <c r="I184" i="9"/>
  <c r="U10" i="9" s="1"/>
  <c r="J183" i="9"/>
  <c r="L207" i="9"/>
  <c r="P207" i="9" s="1"/>
  <c r="J158" i="9"/>
  <c r="K158" i="9"/>
  <c r="I159" i="9"/>
  <c r="S10" i="9" s="1"/>
  <c r="I86" i="9"/>
  <c r="M12" i="9" s="1"/>
  <c r="I35" i="9" l="1"/>
  <c r="J35" i="9" s="1"/>
  <c r="L35" i="9" s="1"/>
  <c r="P35" i="9" s="1"/>
  <c r="J34" i="9"/>
  <c r="L34" i="9" s="1"/>
  <c r="P34" i="9" s="1"/>
  <c r="O33" i="9"/>
  <c r="J9" i="9"/>
  <c r="F40" i="7"/>
  <c r="I40" i="7" s="1"/>
  <c r="J40" i="7" s="1"/>
  <c r="T40" i="7"/>
  <c r="P39" i="7"/>
  <c r="M39" i="7"/>
  <c r="O39" i="7" s="1"/>
  <c r="T39" i="7"/>
  <c r="B42" i="7"/>
  <c r="D41" i="7"/>
  <c r="E41" i="7"/>
  <c r="G39" i="7"/>
  <c r="H39" i="7" s="1"/>
  <c r="K39" i="7" s="1"/>
  <c r="N39" i="7"/>
  <c r="G40" i="7"/>
  <c r="H40" i="7" s="1"/>
  <c r="K85" i="9"/>
  <c r="J85" i="9"/>
  <c r="L85" i="9" s="1"/>
  <c r="P85" i="9" s="1"/>
  <c r="M257" i="9"/>
  <c r="N257" i="9" s="1"/>
  <c r="O257" i="9" s="1"/>
  <c r="M58" i="9"/>
  <c r="N58" i="9" s="1"/>
  <c r="O58" i="9" s="1"/>
  <c r="M84" i="9"/>
  <c r="N84" i="9" s="1"/>
  <c r="O84" i="9" s="1"/>
  <c r="P157" i="9"/>
  <c r="P58" i="9"/>
  <c r="I60" i="9"/>
  <c r="K11" i="9" s="1"/>
  <c r="J59" i="9"/>
  <c r="L59" i="9" s="1"/>
  <c r="P59" i="9" s="1"/>
  <c r="K59" i="9"/>
  <c r="M107" i="9"/>
  <c r="N107" i="9" s="1"/>
  <c r="O107" i="9" s="1"/>
  <c r="P182" i="9"/>
  <c r="P84" i="9"/>
  <c r="M207" i="9"/>
  <c r="N207" i="9" s="1"/>
  <c r="O207" i="9" s="1"/>
  <c r="M232" i="9"/>
  <c r="N232" i="9" s="1"/>
  <c r="O232" i="9" s="1"/>
  <c r="P132" i="9"/>
  <c r="L158" i="9"/>
  <c r="P158" i="9" s="1"/>
  <c r="K159" i="9"/>
  <c r="I160" i="9"/>
  <c r="S11" i="9" s="1"/>
  <c r="J159" i="9"/>
  <c r="L133" i="9"/>
  <c r="P133" i="9" s="1"/>
  <c r="L208" i="9"/>
  <c r="M208" i="9" s="1"/>
  <c r="N208" i="9" s="1"/>
  <c r="O208" i="9" s="1"/>
  <c r="L183" i="9"/>
  <c r="P183" i="9" s="1"/>
  <c r="L108" i="9"/>
  <c r="M108" i="9" s="1"/>
  <c r="N108" i="9" s="1"/>
  <c r="O108" i="9" s="1"/>
  <c r="L258" i="9"/>
  <c r="P258" i="9" s="1"/>
  <c r="L233" i="9"/>
  <c r="P233" i="9" s="1"/>
  <c r="K184" i="9"/>
  <c r="J184" i="9"/>
  <c r="I185" i="9"/>
  <c r="U11" i="9" s="1"/>
  <c r="K109" i="9"/>
  <c r="J109" i="9"/>
  <c r="I110" i="9"/>
  <c r="O11" i="9" s="1"/>
  <c r="J134" i="9"/>
  <c r="K134" i="9"/>
  <c r="I135" i="9"/>
  <c r="Q11" i="9" s="1"/>
  <c r="K259" i="9"/>
  <c r="J259" i="9"/>
  <c r="I260" i="9"/>
  <c r="AA11" i="9" s="1"/>
  <c r="K234" i="9"/>
  <c r="I235" i="9"/>
  <c r="Y11" i="9" s="1"/>
  <c r="J234" i="9"/>
  <c r="J209" i="9"/>
  <c r="K209" i="9"/>
  <c r="I210" i="9"/>
  <c r="W11" i="9" s="1"/>
  <c r="J86" i="9"/>
  <c r="K86" i="9"/>
  <c r="I87" i="9"/>
  <c r="M13" i="9" s="1"/>
  <c r="I11" i="9" l="1"/>
  <c r="I36" i="9"/>
  <c r="I12" i="9" s="1"/>
  <c r="K35" i="9"/>
  <c r="M34" i="9"/>
  <c r="N34" i="9" s="1"/>
  <c r="O34" i="9" s="1"/>
  <c r="N40" i="7"/>
  <c r="K40" i="7"/>
  <c r="E42" i="7"/>
  <c r="D42" i="7"/>
  <c r="B43" i="7"/>
  <c r="M40" i="7"/>
  <c r="O40" i="7" s="1"/>
  <c r="P40" i="7"/>
  <c r="F41" i="7"/>
  <c r="N41" i="7" s="1"/>
  <c r="I37" i="9"/>
  <c r="I13" i="9" s="1"/>
  <c r="J36" i="9"/>
  <c r="L36" i="9" s="1"/>
  <c r="M59" i="9"/>
  <c r="N59" i="9" s="1"/>
  <c r="O59" i="9" s="1"/>
  <c r="I61" i="9"/>
  <c r="K12" i="9" s="1"/>
  <c r="K60" i="9"/>
  <c r="J60" i="9"/>
  <c r="L60" i="9" s="1"/>
  <c r="P60" i="9" s="1"/>
  <c r="M183" i="9"/>
  <c r="N183" i="9" s="1"/>
  <c r="O183" i="9" s="1"/>
  <c r="M85" i="9"/>
  <c r="N85" i="9" s="1"/>
  <c r="O85" i="9" s="1"/>
  <c r="M258" i="9"/>
  <c r="N258" i="9" s="1"/>
  <c r="O258" i="9" s="1"/>
  <c r="L109" i="9"/>
  <c r="P109" i="9" s="1"/>
  <c r="K260" i="9"/>
  <c r="I261" i="9"/>
  <c r="AA12" i="9" s="1"/>
  <c r="J260" i="9"/>
  <c r="L184" i="9"/>
  <c r="P184" i="9" s="1"/>
  <c r="P108" i="9"/>
  <c r="P208" i="9"/>
  <c r="L234" i="9"/>
  <c r="M234" i="9" s="1"/>
  <c r="N234" i="9" s="1"/>
  <c r="O234" i="9" s="1"/>
  <c r="L259" i="9"/>
  <c r="P259" i="9" s="1"/>
  <c r="L134" i="9"/>
  <c r="P134" i="9" s="1"/>
  <c r="M158" i="9"/>
  <c r="N158" i="9" s="1"/>
  <c r="O158" i="9" s="1"/>
  <c r="M233" i="9"/>
  <c r="N233" i="9" s="1"/>
  <c r="O233" i="9" s="1"/>
  <c r="L159" i="9"/>
  <c r="P159" i="9" s="1"/>
  <c r="M133" i="9"/>
  <c r="N133" i="9" s="1"/>
  <c r="O133" i="9" s="1"/>
  <c r="K135" i="9"/>
  <c r="J135" i="9"/>
  <c r="I136" i="9"/>
  <c r="Q12" i="9" s="1"/>
  <c r="K185" i="9"/>
  <c r="J185" i="9"/>
  <c r="I186" i="9"/>
  <c r="U12" i="9" s="1"/>
  <c r="L209" i="9"/>
  <c r="P209" i="9" s="1"/>
  <c r="K210" i="9"/>
  <c r="J210" i="9"/>
  <c r="I211" i="9"/>
  <c r="W12" i="9" s="1"/>
  <c r="K235" i="9"/>
  <c r="I236" i="9"/>
  <c r="Y12" i="9" s="1"/>
  <c r="J235" i="9"/>
  <c r="K110" i="9"/>
  <c r="I111" i="9"/>
  <c r="O12" i="9" s="1"/>
  <c r="J110" i="9"/>
  <c r="K160" i="9"/>
  <c r="I161" i="9"/>
  <c r="S12" i="9" s="1"/>
  <c r="J160" i="9"/>
  <c r="J87" i="9"/>
  <c r="K87" i="9"/>
  <c r="I88" i="9"/>
  <c r="M14" i="9" s="1"/>
  <c r="L86" i="9"/>
  <c r="P86" i="9" s="1"/>
  <c r="M35" i="9"/>
  <c r="N35" i="9" s="1"/>
  <c r="K36" i="9" l="1"/>
  <c r="J10" i="9"/>
  <c r="O35" i="9"/>
  <c r="J11" i="9"/>
  <c r="I41" i="7"/>
  <c r="J41" i="7" s="1"/>
  <c r="P41" i="7"/>
  <c r="M41" i="7"/>
  <c r="O41" i="7" s="1"/>
  <c r="D43" i="7"/>
  <c r="E43" i="7"/>
  <c r="B44" i="7"/>
  <c r="T41" i="7"/>
  <c r="F42" i="7"/>
  <c r="G41" i="7"/>
  <c r="H41" i="7" s="1"/>
  <c r="K41" i="7" s="1"/>
  <c r="K37" i="9"/>
  <c r="I38" i="9"/>
  <c r="I14" i="9" s="1"/>
  <c r="J37" i="9"/>
  <c r="M259" i="9"/>
  <c r="N259" i="9" s="1"/>
  <c r="O259" i="9" s="1"/>
  <c r="M109" i="9"/>
  <c r="N109" i="9" s="1"/>
  <c r="O109" i="9" s="1"/>
  <c r="M36" i="9"/>
  <c r="N36" i="9" s="1"/>
  <c r="K61" i="9"/>
  <c r="I62" i="9"/>
  <c r="K13" i="9" s="1"/>
  <c r="J61" i="9"/>
  <c r="L61" i="9" s="1"/>
  <c r="M60" i="9"/>
  <c r="N60" i="9" s="1"/>
  <c r="O60" i="9" s="1"/>
  <c r="P234" i="9"/>
  <c r="M159" i="9"/>
  <c r="N159" i="9" s="1"/>
  <c r="O159" i="9" s="1"/>
  <c r="M134" i="9"/>
  <c r="N134" i="9" s="1"/>
  <c r="O134" i="9" s="1"/>
  <c r="M86" i="9"/>
  <c r="N86" i="9" s="1"/>
  <c r="O86" i="9" s="1"/>
  <c r="L110" i="9"/>
  <c r="M110" i="9" s="1"/>
  <c r="N110" i="9" s="1"/>
  <c r="O110" i="9" s="1"/>
  <c r="M184" i="9"/>
  <c r="N184" i="9" s="1"/>
  <c r="O184" i="9" s="1"/>
  <c r="P36" i="9"/>
  <c r="L160" i="9"/>
  <c r="M160" i="9" s="1"/>
  <c r="N160" i="9" s="1"/>
  <c r="O160" i="9" s="1"/>
  <c r="K111" i="9"/>
  <c r="I112" i="9"/>
  <c r="O13" i="9" s="1"/>
  <c r="J111" i="9"/>
  <c r="K236" i="9"/>
  <c r="J236" i="9"/>
  <c r="I237" i="9"/>
  <c r="Y13" i="9" s="1"/>
  <c r="I187" i="9"/>
  <c r="U13" i="9" s="1"/>
  <c r="K186" i="9"/>
  <c r="J186" i="9"/>
  <c r="L135" i="9"/>
  <c r="M135" i="9" s="1"/>
  <c r="N135" i="9" s="1"/>
  <c r="O135" i="9" s="1"/>
  <c r="L260" i="9"/>
  <c r="M260" i="9" s="1"/>
  <c r="N260" i="9" s="1"/>
  <c r="O260" i="9" s="1"/>
  <c r="K211" i="9"/>
  <c r="J211" i="9"/>
  <c r="I212" i="9"/>
  <c r="W13" i="9" s="1"/>
  <c r="M209" i="9"/>
  <c r="N209" i="9" s="1"/>
  <c r="O209" i="9" s="1"/>
  <c r="L235" i="9"/>
  <c r="P235" i="9" s="1"/>
  <c r="L210" i="9"/>
  <c r="P210" i="9" s="1"/>
  <c r="K136" i="9"/>
  <c r="I137" i="9"/>
  <c r="Q13" i="9" s="1"/>
  <c r="J136" i="9"/>
  <c r="K161" i="9"/>
  <c r="J161" i="9"/>
  <c r="I162" i="9"/>
  <c r="S13" i="9" s="1"/>
  <c r="L185" i="9"/>
  <c r="M185" i="9" s="1"/>
  <c r="N185" i="9" s="1"/>
  <c r="O185" i="9" s="1"/>
  <c r="K261" i="9"/>
  <c r="J261" i="9"/>
  <c r="I262" i="9"/>
  <c r="AA13" i="9" s="1"/>
  <c r="K88" i="9"/>
  <c r="I89" i="9"/>
  <c r="M15" i="9" s="1"/>
  <c r="J88" i="9"/>
  <c r="L87" i="9"/>
  <c r="M87" i="9" s="1"/>
  <c r="N87" i="9" s="1"/>
  <c r="O87" i="9" s="1"/>
  <c r="K38" i="9"/>
  <c r="L37" i="9"/>
  <c r="P37" i="9" s="1"/>
  <c r="O36" i="9" l="1"/>
  <c r="J12" i="9"/>
  <c r="M42" i="7"/>
  <c r="O42" i="7" s="1"/>
  <c r="P42" i="7"/>
  <c r="N42" i="7"/>
  <c r="F43" i="7"/>
  <c r="I42" i="7"/>
  <c r="J42" i="7" s="1"/>
  <c r="G42" i="7"/>
  <c r="H42" i="7" s="1"/>
  <c r="T42" i="7"/>
  <c r="B45" i="7"/>
  <c r="E44" i="7"/>
  <c r="D44" i="7"/>
  <c r="J38" i="9"/>
  <c r="L38" i="9" s="1"/>
  <c r="P38" i="9" s="1"/>
  <c r="I39" i="9"/>
  <c r="I15" i="9" s="1"/>
  <c r="M235" i="9"/>
  <c r="N235" i="9" s="1"/>
  <c r="O235" i="9" s="1"/>
  <c r="P135" i="9"/>
  <c r="M61" i="9"/>
  <c r="N61" i="9" s="1"/>
  <c r="O61" i="9" s="1"/>
  <c r="P61" i="9"/>
  <c r="I63" i="9"/>
  <c r="K14" i="9" s="1"/>
  <c r="J62" i="9"/>
  <c r="L62" i="9" s="1"/>
  <c r="K62" i="9"/>
  <c r="P185" i="9"/>
  <c r="P87" i="9"/>
  <c r="P160" i="9"/>
  <c r="P110" i="9"/>
  <c r="M210" i="9"/>
  <c r="N210" i="9" s="1"/>
  <c r="O210" i="9" s="1"/>
  <c r="L211" i="9"/>
  <c r="P211" i="9" s="1"/>
  <c r="I188" i="9"/>
  <c r="U14" i="9" s="1"/>
  <c r="J187" i="9"/>
  <c r="K187" i="9"/>
  <c r="L111" i="9"/>
  <c r="P111" i="9" s="1"/>
  <c r="L136" i="9"/>
  <c r="M136" i="9" s="1"/>
  <c r="N136" i="9" s="1"/>
  <c r="O136" i="9" s="1"/>
  <c r="P260" i="9"/>
  <c r="L186" i="9"/>
  <c r="P186" i="9" s="1"/>
  <c r="K237" i="9"/>
  <c r="I238" i="9"/>
  <c r="Y14" i="9" s="1"/>
  <c r="J237" i="9"/>
  <c r="I113" i="9"/>
  <c r="O14" i="9" s="1"/>
  <c r="K112" i="9"/>
  <c r="J112" i="9"/>
  <c r="L261" i="9"/>
  <c r="M261" i="9" s="1"/>
  <c r="N261" i="9" s="1"/>
  <c r="O261" i="9" s="1"/>
  <c r="L161" i="9"/>
  <c r="P161" i="9" s="1"/>
  <c r="K262" i="9"/>
  <c r="I263" i="9"/>
  <c r="AA14" i="9" s="1"/>
  <c r="J262" i="9"/>
  <c r="I163" i="9"/>
  <c r="S14" i="9" s="1"/>
  <c r="K162" i="9"/>
  <c r="J162" i="9"/>
  <c r="K137" i="9"/>
  <c r="J137" i="9"/>
  <c r="I138" i="9"/>
  <c r="Q14" i="9" s="1"/>
  <c r="K212" i="9"/>
  <c r="I213" i="9"/>
  <c r="W14" i="9" s="1"/>
  <c r="J212" i="9"/>
  <c r="L236" i="9"/>
  <c r="M236" i="9" s="1"/>
  <c r="N236" i="9" s="1"/>
  <c r="O236" i="9" s="1"/>
  <c r="K89" i="9"/>
  <c r="I90" i="9"/>
  <c r="M16" i="9" s="1"/>
  <c r="J89" i="9"/>
  <c r="L88" i="9"/>
  <c r="P88" i="9" s="1"/>
  <c r="M37" i="9"/>
  <c r="N37" i="9" s="1"/>
  <c r="O37" i="9" l="1"/>
  <c r="J13" i="9"/>
  <c r="M43" i="7"/>
  <c r="O43" i="7" s="1"/>
  <c r="P43" i="7"/>
  <c r="B46" i="7"/>
  <c r="D45" i="7"/>
  <c r="E45" i="7"/>
  <c r="K42" i="7"/>
  <c r="N43" i="7"/>
  <c r="I43" i="7"/>
  <c r="J43" i="7" s="1"/>
  <c r="F44" i="7"/>
  <c r="G43" i="7"/>
  <c r="H43" i="7" s="1"/>
  <c r="T43" i="7"/>
  <c r="J39" i="9"/>
  <c r="L39" i="9" s="1"/>
  <c r="I40" i="9"/>
  <c r="I16" i="9" s="1"/>
  <c r="K39" i="9"/>
  <c r="M186" i="9"/>
  <c r="N186" i="9" s="1"/>
  <c r="O186" i="9" s="1"/>
  <c r="M211" i="9"/>
  <c r="N211" i="9" s="1"/>
  <c r="O211" i="9" s="1"/>
  <c r="M62" i="9"/>
  <c r="N62" i="9" s="1"/>
  <c r="O62" i="9" s="1"/>
  <c r="I64" i="9"/>
  <c r="K15" i="9" s="1"/>
  <c r="K63" i="9"/>
  <c r="J63" i="9"/>
  <c r="L63" i="9" s="1"/>
  <c r="P62" i="9"/>
  <c r="M111" i="9"/>
  <c r="N111" i="9" s="1"/>
  <c r="O111" i="9" s="1"/>
  <c r="P236" i="9"/>
  <c r="P136" i="9"/>
  <c r="K263" i="9"/>
  <c r="J263" i="9"/>
  <c r="I264" i="9"/>
  <c r="AA15" i="9" s="1"/>
  <c r="K138" i="9"/>
  <c r="I139" i="9"/>
  <c r="Q15" i="9" s="1"/>
  <c r="J138" i="9"/>
  <c r="K113" i="9"/>
  <c r="J113" i="9"/>
  <c r="I114" i="9"/>
  <c r="O15" i="9" s="1"/>
  <c r="M161" i="9"/>
  <c r="N161" i="9" s="1"/>
  <c r="O161" i="9" s="1"/>
  <c r="K188" i="9"/>
  <c r="J188" i="9"/>
  <c r="I189" i="9"/>
  <c r="U15" i="9" s="1"/>
  <c r="L212" i="9"/>
  <c r="P212" i="9" s="1"/>
  <c r="L137" i="9"/>
  <c r="P137" i="9" s="1"/>
  <c r="K163" i="9"/>
  <c r="J163" i="9"/>
  <c r="I164" i="9"/>
  <c r="S15" i="9" s="1"/>
  <c r="P261" i="9"/>
  <c r="L237" i="9"/>
  <c r="P237" i="9" s="1"/>
  <c r="L162" i="9"/>
  <c r="P162" i="9" s="1"/>
  <c r="L187" i="9"/>
  <c r="P187" i="9" s="1"/>
  <c r="K213" i="9"/>
  <c r="J213" i="9"/>
  <c r="I214" i="9"/>
  <c r="W15" i="9" s="1"/>
  <c r="L262" i="9"/>
  <c r="M262" i="9" s="1"/>
  <c r="N262" i="9" s="1"/>
  <c r="O262" i="9" s="1"/>
  <c r="L112" i="9"/>
  <c r="M112" i="9" s="1"/>
  <c r="N112" i="9" s="1"/>
  <c r="O112" i="9" s="1"/>
  <c r="K238" i="9"/>
  <c r="I239" i="9"/>
  <c r="Y15" i="9" s="1"/>
  <c r="J238" i="9"/>
  <c r="I91" i="9"/>
  <c r="M17" i="9" s="1"/>
  <c r="K90" i="9"/>
  <c r="J90" i="9"/>
  <c r="L89" i="9"/>
  <c r="P89" i="9" s="1"/>
  <c r="M88" i="9"/>
  <c r="N88" i="9" s="1"/>
  <c r="O88" i="9" s="1"/>
  <c r="P63" i="9"/>
  <c r="M38" i="9"/>
  <c r="N38" i="9" s="1"/>
  <c r="K40" i="9" l="1"/>
  <c r="O38" i="9"/>
  <c r="J14" i="9"/>
  <c r="P44" i="7"/>
  <c r="M44" i="7"/>
  <c r="O44" i="7" s="1"/>
  <c r="G44" i="7"/>
  <c r="H44" i="7" s="1"/>
  <c r="I44" i="7"/>
  <c r="J44" i="7" s="1"/>
  <c r="T44" i="7"/>
  <c r="K43" i="7"/>
  <c r="F45" i="7"/>
  <c r="N44" i="7"/>
  <c r="E46" i="7"/>
  <c r="B47" i="7"/>
  <c r="D46" i="7"/>
  <c r="I41" i="9"/>
  <c r="I17" i="9" s="1"/>
  <c r="J40" i="9"/>
  <c r="L40" i="9" s="1"/>
  <c r="P40" i="9" s="1"/>
  <c r="M39" i="9"/>
  <c r="N39" i="9" s="1"/>
  <c r="M63" i="9"/>
  <c r="N63" i="9" s="1"/>
  <c r="O63" i="9" s="1"/>
  <c r="K64" i="9"/>
  <c r="J64" i="9"/>
  <c r="L64" i="9" s="1"/>
  <c r="I65" i="9"/>
  <c r="K16" i="9" s="1"/>
  <c r="M137" i="9"/>
  <c r="N137" i="9" s="1"/>
  <c r="O137" i="9" s="1"/>
  <c r="M237" i="9"/>
  <c r="N237" i="9" s="1"/>
  <c r="O237" i="9" s="1"/>
  <c r="M212" i="9"/>
  <c r="N212" i="9" s="1"/>
  <c r="O212" i="9" s="1"/>
  <c r="P39" i="9"/>
  <c r="M187" i="9"/>
  <c r="N187" i="9" s="1"/>
  <c r="O187" i="9" s="1"/>
  <c r="K189" i="9"/>
  <c r="J189" i="9"/>
  <c r="I190" i="9"/>
  <c r="U16" i="9" s="1"/>
  <c r="K114" i="9"/>
  <c r="I115" i="9"/>
  <c r="O16" i="9" s="1"/>
  <c r="J114" i="9"/>
  <c r="M162" i="9"/>
  <c r="N162" i="9" s="1"/>
  <c r="O162" i="9" s="1"/>
  <c r="K164" i="9"/>
  <c r="I165" i="9"/>
  <c r="S16" i="9" s="1"/>
  <c r="J164" i="9"/>
  <c r="L188" i="9"/>
  <c r="P188" i="9" s="1"/>
  <c r="L113" i="9"/>
  <c r="P113" i="9" s="1"/>
  <c r="L138" i="9"/>
  <c r="P138" i="9" s="1"/>
  <c r="K264" i="9"/>
  <c r="I265" i="9"/>
  <c r="AA16" i="9" s="1"/>
  <c r="J264" i="9"/>
  <c r="M89" i="9"/>
  <c r="N89" i="9" s="1"/>
  <c r="O89" i="9" s="1"/>
  <c r="L238" i="9"/>
  <c r="P238" i="9" s="1"/>
  <c r="P112" i="9"/>
  <c r="K214" i="9"/>
  <c r="I215" i="9"/>
  <c r="W16" i="9" s="1"/>
  <c r="J214" i="9"/>
  <c r="L163" i="9"/>
  <c r="P163" i="9" s="1"/>
  <c r="K139" i="9"/>
  <c r="J139" i="9"/>
  <c r="I140" i="9"/>
  <c r="Q16" i="9" s="1"/>
  <c r="L263" i="9"/>
  <c r="P263" i="9" s="1"/>
  <c r="K239" i="9"/>
  <c r="I240" i="9"/>
  <c r="Y16" i="9" s="1"/>
  <c r="J239" i="9"/>
  <c r="P262" i="9"/>
  <c r="L213" i="9"/>
  <c r="P213" i="9" s="1"/>
  <c r="L90" i="9"/>
  <c r="P90" i="9" s="1"/>
  <c r="K91" i="9"/>
  <c r="I92" i="9"/>
  <c r="M18" i="9" s="1"/>
  <c r="J91" i="9"/>
  <c r="I42" i="9"/>
  <c r="I18" i="9" s="1"/>
  <c r="J41" i="9" l="1"/>
  <c r="O39" i="9"/>
  <c r="J15" i="9"/>
  <c r="K44" i="7"/>
  <c r="P45" i="7"/>
  <c r="M45" i="7"/>
  <c r="O45" i="7" s="1"/>
  <c r="G45" i="7"/>
  <c r="H45" i="7" s="1"/>
  <c r="I45" i="7"/>
  <c r="J45" i="7" s="1"/>
  <c r="K45" i="7" s="1"/>
  <c r="F46" i="7"/>
  <c r="N46" i="7" s="1"/>
  <c r="N45" i="7"/>
  <c r="D47" i="7"/>
  <c r="E47" i="7"/>
  <c r="B48" i="7"/>
  <c r="T45" i="7"/>
  <c r="K41" i="9"/>
  <c r="M163" i="9"/>
  <c r="N163" i="9" s="1"/>
  <c r="O163" i="9" s="1"/>
  <c r="P64" i="9"/>
  <c r="M90" i="9"/>
  <c r="N90" i="9" s="1"/>
  <c r="O90" i="9" s="1"/>
  <c r="J65" i="9"/>
  <c r="L65" i="9" s="1"/>
  <c r="P65" i="9" s="1"/>
  <c r="K65" i="9"/>
  <c r="I66" i="9"/>
  <c r="K17" i="9" s="1"/>
  <c r="M263" i="9"/>
  <c r="N263" i="9" s="1"/>
  <c r="O263" i="9" s="1"/>
  <c r="M64" i="9"/>
  <c r="N64" i="9" s="1"/>
  <c r="O64" i="9" s="1"/>
  <c r="M138" i="9"/>
  <c r="N138" i="9" s="1"/>
  <c r="O138" i="9" s="1"/>
  <c r="M188" i="9"/>
  <c r="N188" i="9" s="1"/>
  <c r="O188" i="9" s="1"/>
  <c r="K140" i="9"/>
  <c r="I141" i="9"/>
  <c r="Q17" i="9" s="1"/>
  <c r="J140" i="9"/>
  <c r="K215" i="9"/>
  <c r="J215" i="9"/>
  <c r="I216" i="9"/>
  <c r="W17" i="9" s="1"/>
  <c r="K165" i="9"/>
  <c r="I166" i="9"/>
  <c r="S17" i="9" s="1"/>
  <c r="J165" i="9"/>
  <c r="K115" i="9"/>
  <c r="J115" i="9"/>
  <c r="I116" i="9"/>
  <c r="O17" i="9" s="1"/>
  <c r="M238" i="9"/>
  <c r="N238" i="9" s="1"/>
  <c r="O238" i="9" s="1"/>
  <c r="L139" i="9"/>
  <c r="M139" i="9" s="1"/>
  <c r="N139" i="9" s="1"/>
  <c r="O139" i="9" s="1"/>
  <c r="M213" i="9"/>
  <c r="N213" i="9" s="1"/>
  <c r="O213" i="9" s="1"/>
  <c r="L239" i="9"/>
  <c r="M239" i="9" s="1"/>
  <c r="N239" i="9" s="1"/>
  <c r="O239" i="9" s="1"/>
  <c r="L264" i="9"/>
  <c r="P264" i="9" s="1"/>
  <c r="K190" i="9"/>
  <c r="J190" i="9"/>
  <c r="I191" i="9"/>
  <c r="U17" i="9" s="1"/>
  <c r="K240" i="9"/>
  <c r="J240" i="9"/>
  <c r="I241" i="9"/>
  <c r="Y17" i="9" s="1"/>
  <c r="M113" i="9"/>
  <c r="N113" i="9" s="1"/>
  <c r="O113" i="9" s="1"/>
  <c r="L214" i="9"/>
  <c r="M214" i="9" s="1"/>
  <c r="N214" i="9" s="1"/>
  <c r="O214" i="9" s="1"/>
  <c r="I266" i="9"/>
  <c r="AA17" i="9" s="1"/>
  <c r="J265" i="9"/>
  <c r="K265" i="9"/>
  <c r="L164" i="9"/>
  <c r="M164" i="9" s="1"/>
  <c r="N164" i="9" s="1"/>
  <c r="O164" i="9" s="1"/>
  <c r="L114" i="9"/>
  <c r="M114" i="9" s="1"/>
  <c r="N114" i="9" s="1"/>
  <c r="O114" i="9" s="1"/>
  <c r="L189" i="9"/>
  <c r="M189" i="9" s="1"/>
  <c r="N189" i="9" s="1"/>
  <c r="O189" i="9" s="1"/>
  <c r="L91" i="9"/>
  <c r="M91" i="9" s="1"/>
  <c r="N91" i="9" s="1"/>
  <c r="O91" i="9" s="1"/>
  <c r="K92" i="9"/>
  <c r="J92" i="9"/>
  <c r="I93" i="9"/>
  <c r="M19" i="9" s="1"/>
  <c r="K42" i="9"/>
  <c r="I43" i="9"/>
  <c r="I19" i="9" s="1"/>
  <c r="J42" i="9"/>
  <c r="M40" i="9"/>
  <c r="N40" i="9" s="1"/>
  <c r="L41" i="9"/>
  <c r="P41" i="9" s="1"/>
  <c r="O40" i="9" l="1"/>
  <c r="J16" i="9"/>
  <c r="E48" i="7"/>
  <c r="B49" i="7"/>
  <c r="D48" i="7"/>
  <c r="T46" i="7"/>
  <c r="G47" i="7"/>
  <c r="H47" i="7" s="1"/>
  <c r="P46" i="7"/>
  <c r="M46" i="7"/>
  <c r="O46" i="7" s="1"/>
  <c r="F47" i="7"/>
  <c r="N47" i="7" s="1"/>
  <c r="I46" i="7"/>
  <c r="J46" i="7" s="1"/>
  <c r="G46" i="7"/>
  <c r="H46" i="7" s="1"/>
  <c r="I67" i="9"/>
  <c r="K18" i="9" s="1"/>
  <c r="K66" i="9"/>
  <c r="J66" i="9"/>
  <c r="L66" i="9" s="1"/>
  <c r="M65" i="9"/>
  <c r="N65" i="9" s="1"/>
  <c r="O65" i="9" s="1"/>
  <c r="P139" i="9"/>
  <c r="P114" i="9"/>
  <c r="P164" i="9"/>
  <c r="M264" i="9"/>
  <c r="N264" i="9" s="1"/>
  <c r="O264" i="9" s="1"/>
  <c r="P214" i="9"/>
  <c r="P239" i="9"/>
  <c r="K266" i="9"/>
  <c r="I267" i="9"/>
  <c r="AA18" i="9" s="1"/>
  <c r="J266" i="9"/>
  <c r="L190" i="9"/>
  <c r="M190" i="9" s="1"/>
  <c r="N190" i="9" s="1"/>
  <c r="O190" i="9" s="1"/>
  <c r="L115" i="9"/>
  <c r="P115" i="9" s="1"/>
  <c r="P189" i="9"/>
  <c r="L140" i="9"/>
  <c r="P140" i="9" s="1"/>
  <c r="L165" i="9"/>
  <c r="P165" i="9" s="1"/>
  <c r="K216" i="9"/>
  <c r="I217" i="9"/>
  <c r="W18" i="9" s="1"/>
  <c r="J216" i="9"/>
  <c r="K141" i="9"/>
  <c r="I142" i="9"/>
  <c r="Q18" i="9" s="1"/>
  <c r="J141" i="9"/>
  <c r="K241" i="9"/>
  <c r="I242" i="9"/>
  <c r="Y18" i="9" s="1"/>
  <c r="J241" i="9"/>
  <c r="L240" i="9"/>
  <c r="P240" i="9" s="1"/>
  <c r="L265" i="9"/>
  <c r="M265" i="9" s="1"/>
  <c r="N265" i="9" s="1"/>
  <c r="O265" i="9" s="1"/>
  <c r="K191" i="9"/>
  <c r="I192" i="9"/>
  <c r="U18" i="9" s="1"/>
  <c r="J191" i="9"/>
  <c r="K116" i="9"/>
  <c r="J116" i="9"/>
  <c r="I117" i="9"/>
  <c r="O18" i="9" s="1"/>
  <c r="K166" i="9"/>
  <c r="I167" i="9"/>
  <c r="S18" i="9" s="1"/>
  <c r="J166" i="9"/>
  <c r="L215" i="9"/>
  <c r="M215" i="9" s="1"/>
  <c r="N215" i="9" s="1"/>
  <c r="O215" i="9" s="1"/>
  <c r="P91" i="9"/>
  <c r="I94" i="9"/>
  <c r="M20" i="9" s="1"/>
  <c r="J93" i="9"/>
  <c r="K93" i="9"/>
  <c r="L92" i="9"/>
  <c r="M92" i="9" s="1"/>
  <c r="N92" i="9" s="1"/>
  <c r="O92" i="9" s="1"/>
  <c r="M41" i="9"/>
  <c r="N41" i="9" s="1"/>
  <c r="L42" i="9"/>
  <c r="P42" i="9" s="1"/>
  <c r="I44" i="9"/>
  <c r="I20" i="9" s="1"/>
  <c r="J43" i="9"/>
  <c r="K43" i="9"/>
  <c r="O41" i="9" l="1"/>
  <c r="J17" i="9"/>
  <c r="I47" i="7"/>
  <c r="J47" i="7" s="1"/>
  <c r="K47" i="7" s="1"/>
  <c r="T47" i="7"/>
  <c r="D49" i="7"/>
  <c r="B50" i="7"/>
  <c r="E49" i="7"/>
  <c r="K46" i="7"/>
  <c r="P47" i="7"/>
  <c r="M47" i="7"/>
  <c r="O47" i="7" s="1"/>
  <c r="F48" i="7"/>
  <c r="I48" i="7"/>
  <c r="J48" i="7" s="1"/>
  <c r="T48" i="7"/>
  <c r="P66" i="9"/>
  <c r="P215" i="9"/>
  <c r="M115" i="9"/>
  <c r="N115" i="9" s="1"/>
  <c r="O115" i="9" s="1"/>
  <c r="M66" i="9"/>
  <c r="N66" i="9" s="1"/>
  <c r="O66" i="9" s="1"/>
  <c r="J67" i="9"/>
  <c r="L67" i="9" s="1"/>
  <c r="I68" i="9"/>
  <c r="K19" i="9" s="1"/>
  <c r="K67" i="9"/>
  <c r="P265" i="9"/>
  <c r="P190" i="9"/>
  <c r="L166" i="9"/>
  <c r="P166" i="9" s="1"/>
  <c r="L116" i="9"/>
  <c r="P116" i="9" s="1"/>
  <c r="M140" i="9"/>
  <c r="N140" i="9" s="1"/>
  <c r="O140" i="9" s="1"/>
  <c r="K167" i="9"/>
  <c r="I168" i="9"/>
  <c r="S19" i="9" s="1"/>
  <c r="J167" i="9"/>
  <c r="L191" i="9"/>
  <c r="P191" i="9" s="1"/>
  <c r="L241" i="9"/>
  <c r="P241" i="9" s="1"/>
  <c r="K142" i="9"/>
  <c r="J142" i="9"/>
  <c r="I143" i="9"/>
  <c r="Q19" i="9" s="1"/>
  <c r="L266" i="9"/>
  <c r="P266" i="9" s="1"/>
  <c r="L216" i="9"/>
  <c r="P216" i="9" s="1"/>
  <c r="M165" i="9"/>
  <c r="N165" i="9" s="1"/>
  <c r="O165" i="9" s="1"/>
  <c r="L141" i="9"/>
  <c r="P141" i="9" s="1"/>
  <c r="I218" i="9"/>
  <c r="W19" i="9" s="1"/>
  <c r="K217" i="9"/>
  <c r="J217" i="9"/>
  <c r="M240" i="9"/>
  <c r="N240" i="9" s="1"/>
  <c r="O240" i="9" s="1"/>
  <c r="P92" i="9"/>
  <c r="K117" i="9"/>
  <c r="I118" i="9"/>
  <c r="O19" i="9" s="1"/>
  <c r="J117" i="9"/>
  <c r="K192" i="9"/>
  <c r="I193" i="9"/>
  <c r="U19" i="9" s="1"/>
  <c r="J192" i="9"/>
  <c r="K242" i="9"/>
  <c r="J242" i="9"/>
  <c r="I243" i="9"/>
  <c r="Y19" i="9" s="1"/>
  <c r="K267" i="9"/>
  <c r="I268" i="9"/>
  <c r="AA19" i="9" s="1"/>
  <c r="J267" i="9"/>
  <c r="I95" i="9"/>
  <c r="M21" i="9" s="1"/>
  <c r="K94" i="9"/>
  <c r="J94" i="9"/>
  <c r="L93" i="9"/>
  <c r="P93" i="9" s="1"/>
  <c r="M42" i="9"/>
  <c r="N42" i="9" s="1"/>
  <c r="L43" i="9"/>
  <c r="P43" i="9" s="1"/>
  <c r="K44" i="9"/>
  <c r="J44" i="9"/>
  <c r="I45" i="9"/>
  <c r="I21" i="9" s="1"/>
  <c r="M43" i="9"/>
  <c r="N43" i="9" s="1"/>
  <c r="O42" i="9" l="1"/>
  <c r="J18" i="9"/>
  <c r="O43" i="9"/>
  <c r="J19" i="9"/>
  <c r="E50" i="7"/>
  <c r="B51" i="7"/>
  <c r="D50" i="7"/>
  <c r="F49" i="7"/>
  <c r="G49" i="7" s="1"/>
  <c r="H49" i="7" s="1"/>
  <c r="I49" i="7"/>
  <c r="J49" i="7" s="1"/>
  <c r="P48" i="7"/>
  <c r="M48" i="7"/>
  <c r="O48" i="7" s="1"/>
  <c r="G48" i="7"/>
  <c r="H48" i="7" s="1"/>
  <c r="K48" i="7" s="1"/>
  <c r="N48" i="7"/>
  <c r="M141" i="9"/>
  <c r="N141" i="9" s="1"/>
  <c r="O141" i="9" s="1"/>
  <c r="M67" i="9"/>
  <c r="N67" i="9" s="1"/>
  <c r="O67" i="9" s="1"/>
  <c r="M241" i="9"/>
  <c r="N241" i="9" s="1"/>
  <c r="O241" i="9" s="1"/>
  <c r="M191" i="9"/>
  <c r="N191" i="9" s="1"/>
  <c r="O191" i="9" s="1"/>
  <c r="P67" i="9"/>
  <c r="I69" i="9"/>
  <c r="K20" i="9" s="1"/>
  <c r="J68" i="9"/>
  <c r="L68" i="9" s="1"/>
  <c r="K68" i="9"/>
  <c r="M266" i="9"/>
  <c r="N266" i="9" s="1"/>
  <c r="O266" i="9" s="1"/>
  <c r="M216" i="9"/>
  <c r="N216" i="9" s="1"/>
  <c r="O216" i="9" s="1"/>
  <c r="M116" i="9"/>
  <c r="N116" i="9" s="1"/>
  <c r="O116" i="9" s="1"/>
  <c r="K218" i="9"/>
  <c r="J218" i="9"/>
  <c r="I219" i="9"/>
  <c r="W20" i="9" s="1"/>
  <c r="K143" i="9"/>
  <c r="I144" i="9"/>
  <c r="Q20" i="9" s="1"/>
  <c r="J143" i="9"/>
  <c r="L167" i="9"/>
  <c r="M167" i="9" s="1"/>
  <c r="N167" i="9" s="1"/>
  <c r="O167" i="9" s="1"/>
  <c r="L117" i="9"/>
  <c r="P117" i="9" s="1"/>
  <c r="L142" i="9"/>
  <c r="M142" i="9" s="1"/>
  <c r="N142" i="9" s="1"/>
  <c r="O142" i="9" s="1"/>
  <c r="K168" i="9"/>
  <c r="I169" i="9"/>
  <c r="S20" i="9" s="1"/>
  <c r="J168" i="9"/>
  <c r="L192" i="9"/>
  <c r="P192" i="9" s="1"/>
  <c r="K118" i="9"/>
  <c r="I119" i="9"/>
  <c r="O20" i="9" s="1"/>
  <c r="J118" i="9"/>
  <c r="L217" i="9"/>
  <c r="M217" i="9" s="1"/>
  <c r="N217" i="9" s="1"/>
  <c r="O217" i="9" s="1"/>
  <c r="K268" i="9"/>
  <c r="I269" i="9"/>
  <c r="AA20" i="9" s="1"/>
  <c r="J268" i="9"/>
  <c r="L242" i="9"/>
  <c r="M242" i="9" s="1"/>
  <c r="N242" i="9" s="1"/>
  <c r="O242" i="9" s="1"/>
  <c r="L267" i="9"/>
  <c r="M267" i="9" s="1"/>
  <c r="N267" i="9" s="1"/>
  <c r="O267" i="9" s="1"/>
  <c r="K243" i="9"/>
  <c r="I244" i="9"/>
  <c r="Y20" i="9" s="1"/>
  <c r="J243" i="9"/>
  <c r="K193" i="9"/>
  <c r="J193" i="9"/>
  <c r="I194" i="9"/>
  <c r="U20" i="9" s="1"/>
  <c r="M166" i="9"/>
  <c r="N166" i="9" s="1"/>
  <c r="O166" i="9" s="1"/>
  <c r="L94" i="9"/>
  <c r="M94" i="9" s="1"/>
  <c r="N94" i="9" s="1"/>
  <c r="O94" i="9" s="1"/>
  <c r="M93" i="9"/>
  <c r="N93" i="9" s="1"/>
  <c r="O93" i="9" s="1"/>
  <c r="J95" i="9"/>
  <c r="K95" i="9"/>
  <c r="I96" i="9"/>
  <c r="M22" i="9" s="1"/>
  <c r="K45" i="9"/>
  <c r="I46" i="9"/>
  <c r="I22" i="9" s="1"/>
  <c r="J45" i="9"/>
  <c r="L44" i="9"/>
  <c r="M44" i="9" s="1"/>
  <c r="N44" i="9" s="1"/>
  <c r="O44" i="9" l="1"/>
  <c r="J20" i="9"/>
  <c r="N49" i="7"/>
  <c r="K49" i="7"/>
  <c r="E51" i="7"/>
  <c r="B52" i="7"/>
  <c r="D51" i="7"/>
  <c r="P49" i="7"/>
  <c r="M49" i="7"/>
  <c r="O49" i="7" s="1"/>
  <c r="G50" i="7"/>
  <c r="H50" i="7" s="1"/>
  <c r="T49" i="7"/>
  <c r="F50" i="7"/>
  <c r="N50" i="7"/>
  <c r="I50" i="7"/>
  <c r="J50" i="7" s="1"/>
  <c r="T50" i="7"/>
  <c r="P68" i="9"/>
  <c r="M68" i="9"/>
  <c r="N68" i="9" s="1"/>
  <c r="O68" i="9" s="1"/>
  <c r="J69" i="9"/>
  <c r="L69" i="9" s="1"/>
  <c r="K69" i="9"/>
  <c r="I70" i="9"/>
  <c r="K21" i="9" s="1"/>
  <c r="M117" i="9"/>
  <c r="N117" i="9" s="1"/>
  <c r="O117" i="9" s="1"/>
  <c r="P242" i="9"/>
  <c r="P142" i="9"/>
  <c r="P94" i="9"/>
  <c r="P217" i="9"/>
  <c r="P167" i="9"/>
  <c r="M192" i="9"/>
  <c r="N192" i="9" s="1"/>
  <c r="O192" i="9" s="1"/>
  <c r="K269" i="9"/>
  <c r="J269" i="9"/>
  <c r="I270" i="9"/>
  <c r="AA21" i="9" s="1"/>
  <c r="K194" i="9"/>
  <c r="I195" i="9"/>
  <c r="U21" i="9" s="1"/>
  <c r="J194" i="9"/>
  <c r="I220" i="9"/>
  <c r="W21" i="9" s="1"/>
  <c r="K219" i="9"/>
  <c r="J219" i="9"/>
  <c r="L193" i="9"/>
  <c r="M193" i="9" s="1"/>
  <c r="N193" i="9" s="1"/>
  <c r="O193" i="9" s="1"/>
  <c r="L118" i="9"/>
  <c r="P118" i="9" s="1"/>
  <c r="L143" i="9"/>
  <c r="P143" i="9" s="1"/>
  <c r="L218" i="9"/>
  <c r="P218" i="9" s="1"/>
  <c r="L243" i="9"/>
  <c r="M243" i="9" s="1"/>
  <c r="N243" i="9" s="1"/>
  <c r="O243" i="9" s="1"/>
  <c r="K169" i="9"/>
  <c r="I170" i="9"/>
  <c r="S21" i="9" s="1"/>
  <c r="J169" i="9"/>
  <c r="K244" i="9"/>
  <c r="J244" i="9"/>
  <c r="I245" i="9"/>
  <c r="Y21" i="9" s="1"/>
  <c r="P267" i="9"/>
  <c r="L268" i="9"/>
  <c r="M268" i="9" s="1"/>
  <c r="N268" i="9" s="1"/>
  <c r="O268" i="9" s="1"/>
  <c r="K119" i="9"/>
  <c r="I120" i="9"/>
  <c r="O21" i="9" s="1"/>
  <c r="J119" i="9"/>
  <c r="L168" i="9"/>
  <c r="P168" i="9" s="1"/>
  <c r="K144" i="9"/>
  <c r="I145" i="9"/>
  <c r="Q21" i="9" s="1"/>
  <c r="J144" i="9"/>
  <c r="K96" i="9"/>
  <c r="I97" i="9"/>
  <c r="M23" i="9" s="1"/>
  <c r="J96" i="9"/>
  <c r="L95" i="9"/>
  <c r="M95" i="9" s="1"/>
  <c r="N95" i="9" s="1"/>
  <c r="O95" i="9" s="1"/>
  <c r="P44" i="9"/>
  <c r="L45" i="9"/>
  <c r="P45" i="9" s="1"/>
  <c r="J46" i="9"/>
  <c r="K46" i="9"/>
  <c r="I47" i="9"/>
  <c r="I23" i="9" s="1"/>
  <c r="K50" i="7" l="1"/>
  <c r="D52" i="7"/>
  <c r="E52" i="7"/>
  <c r="B53" i="7"/>
  <c r="P50" i="7"/>
  <c r="M50" i="7"/>
  <c r="O50" i="7" s="1"/>
  <c r="F51" i="7"/>
  <c r="I51" i="7" s="1"/>
  <c r="J51" i="7" s="1"/>
  <c r="P69" i="9"/>
  <c r="M218" i="9"/>
  <c r="N218" i="9" s="1"/>
  <c r="O218" i="9" s="1"/>
  <c r="M45" i="9"/>
  <c r="N45" i="9" s="1"/>
  <c r="I71" i="9"/>
  <c r="K22" i="9" s="1"/>
  <c r="K70" i="9"/>
  <c r="J70" i="9"/>
  <c r="L70" i="9" s="1"/>
  <c r="M69" i="9"/>
  <c r="N69" i="9" s="1"/>
  <c r="O69" i="9" s="1"/>
  <c r="P193" i="9"/>
  <c r="P268" i="9"/>
  <c r="M168" i="9"/>
  <c r="N168" i="9" s="1"/>
  <c r="O168" i="9" s="1"/>
  <c r="K145" i="9"/>
  <c r="I146" i="9"/>
  <c r="Q22" i="9" s="1"/>
  <c r="J145" i="9"/>
  <c r="K170" i="9"/>
  <c r="I171" i="9"/>
  <c r="S22" i="9" s="1"/>
  <c r="J170" i="9"/>
  <c r="K220" i="9"/>
  <c r="J220" i="9"/>
  <c r="I221" i="9"/>
  <c r="W22" i="9" s="1"/>
  <c r="M143" i="9"/>
  <c r="N143" i="9" s="1"/>
  <c r="O143" i="9" s="1"/>
  <c r="M118" i="9"/>
  <c r="N118" i="9" s="1"/>
  <c r="O118" i="9" s="1"/>
  <c r="L219" i="9"/>
  <c r="M219" i="9" s="1"/>
  <c r="N219" i="9" s="1"/>
  <c r="O219" i="9" s="1"/>
  <c r="K270" i="9"/>
  <c r="I271" i="9"/>
  <c r="AA22" i="9" s="1"/>
  <c r="J270" i="9"/>
  <c r="L119" i="9"/>
  <c r="M119" i="9" s="1"/>
  <c r="N119" i="9" s="1"/>
  <c r="O119" i="9" s="1"/>
  <c r="L244" i="9"/>
  <c r="P244" i="9" s="1"/>
  <c r="K195" i="9"/>
  <c r="I196" i="9"/>
  <c r="U22" i="9" s="1"/>
  <c r="J195" i="9"/>
  <c r="P95" i="9"/>
  <c r="K120" i="9"/>
  <c r="I121" i="9"/>
  <c r="O22" i="9" s="1"/>
  <c r="J120" i="9"/>
  <c r="L144" i="9"/>
  <c r="M144" i="9" s="1"/>
  <c r="N144" i="9" s="1"/>
  <c r="O144" i="9" s="1"/>
  <c r="K245" i="9"/>
  <c r="I246" i="9"/>
  <c r="Y22" i="9" s="1"/>
  <c r="J245" i="9"/>
  <c r="L169" i="9"/>
  <c r="M169" i="9" s="1"/>
  <c r="N169" i="9" s="1"/>
  <c r="O169" i="9" s="1"/>
  <c r="P243" i="9"/>
  <c r="L194" i="9"/>
  <c r="P194" i="9" s="1"/>
  <c r="L269" i="9"/>
  <c r="M269" i="9" s="1"/>
  <c r="N269" i="9" s="1"/>
  <c r="O269" i="9" s="1"/>
  <c r="L96" i="9"/>
  <c r="P96" i="9" s="1"/>
  <c r="K97" i="9"/>
  <c r="I98" i="9"/>
  <c r="M24" i="9" s="1"/>
  <c r="J97" i="9"/>
  <c r="L46" i="9"/>
  <c r="M46" i="9" s="1"/>
  <c r="N46" i="9" s="1"/>
  <c r="I48" i="9"/>
  <c r="I24" i="9" s="1"/>
  <c r="K47" i="9"/>
  <c r="J47" i="9"/>
  <c r="O46" i="9" l="1"/>
  <c r="J22" i="9"/>
  <c r="O45" i="9"/>
  <c r="J21" i="9"/>
  <c r="T51" i="7"/>
  <c r="G51" i="7"/>
  <c r="H51" i="7" s="1"/>
  <c r="M96" i="9"/>
  <c r="N96" i="9" s="1"/>
  <c r="O96" i="9" s="1"/>
  <c r="N51" i="7"/>
  <c r="K51" i="7"/>
  <c r="F52" i="7"/>
  <c r="I52" i="7" s="1"/>
  <c r="J52" i="7" s="1"/>
  <c r="M51" i="7"/>
  <c r="O51" i="7" s="1"/>
  <c r="P51" i="7"/>
  <c r="B54" i="7"/>
  <c r="E53" i="7"/>
  <c r="D53" i="7"/>
  <c r="M70" i="9"/>
  <c r="N70" i="9" s="1"/>
  <c r="O70" i="9" s="1"/>
  <c r="P70" i="9"/>
  <c r="I72" i="9"/>
  <c r="K23" i="9" s="1"/>
  <c r="J71" i="9"/>
  <c r="L71" i="9" s="1"/>
  <c r="K71" i="9"/>
  <c r="M244" i="9"/>
  <c r="N244" i="9" s="1"/>
  <c r="O244" i="9" s="1"/>
  <c r="P169" i="9"/>
  <c r="M194" i="9"/>
  <c r="N194" i="9" s="1"/>
  <c r="O194" i="9" s="1"/>
  <c r="P119" i="9"/>
  <c r="P219" i="9"/>
  <c r="K246" i="9"/>
  <c r="I247" i="9"/>
  <c r="Y23" i="9" s="1"/>
  <c r="J246" i="9"/>
  <c r="K221" i="9"/>
  <c r="J221" i="9"/>
  <c r="I222" i="9"/>
  <c r="W23" i="9" s="1"/>
  <c r="K171" i="9"/>
  <c r="I172" i="9"/>
  <c r="S23" i="9" s="1"/>
  <c r="J171" i="9"/>
  <c r="P144" i="9"/>
  <c r="L120" i="9"/>
  <c r="P120" i="9" s="1"/>
  <c r="L195" i="9"/>
  <c r="P195" i="9" s="1"/>
  <c r="K271" i="9"/>
  <c r="I272" i="9"/>
  <c r="AA23" i="9" s="1"/>
  <c r="J271" i="9"/>
  <c r="L145" i="9"/>
  <c r="M145" i="9" s="1"/>
  <c r="N145" i="9" s="1"/>
  <c r="O145" i="9" s="1"/>
  <c r="L270" i="9"/>
  <c r="M270" i="9" s="1"/>
  <c r="N270" i="9" s="1"/>
  <c r="O270" i="9" s="1"/>
  <c r="L220" i="9"/>
  <c r="P220" i="9" s="1"/>
  <c r="P269" i="9"/>
  <c r="L245" i="9"/>
  <c r="M245" i="9" s="1"/>
  <c r="N245" i="9" s="1"/>
  <c r="O245" i="9" s="1"/>
  <c r="K121" i="9"/>
  <c r="I122" i="9"/>
  <c r="O23" i="9" s="1"/>
  <c r="J121" i="9"/>
  <c r="K196" i="9"/>
  <c r="J196" i="9"/>
  <c r="I197" i="9"/>
  <c r="U23" i="9" s="1"/>
  <c r="L170" i="9"/>
  <c r="M170" i="9" s="1"/>
  <c r="N170" i="9" s="1"/>
  <c r="O170" i="9" s="1"/>
  <c r="K146" i="9"/>
  <c r="J146" i="9"/>
  <c r="I147" i="9"/>
  <c r="Q23" i="9" s="1"/>
  <c r="I99" i="9"/>
  <c r="M25" i="9" s="1"/>
  <c r="K98" i="9"/>
  <c r="J98" i="9"/>
  <c r="L97" i="9"/>
  <c r="P97" i="9" s="1"/>
  <c r="I49" i="9"/>
  <c r="I25" i="9" s="1"/>
  <c r="K48" i="9"/>
  <c r="J48" i="9"/>
  <c r="L47" i="9"/>
  <c r="P47" i="9" s="1"/>
  <c r="P46" i="9"/>
  <c r="T52" i="7" l="1"/>
  <c r="F53" i="7"/>
  <c r="G53" i="7"/>
  <c r="H53" i="7" s="1"/>
  <c r="N52" i="7"/>
  <c r="G52" i="7"/>
  <c r="H52" i="7" s="1"/>
  <c r="K52" i="7" s="1"/>
  <c r="E54" i="7"/>
  <c r="B55" i="7"/>
  <c r="D54" i="7"/>
  <c r="P52" i="7"/>
  <c r="M52" i="7"/>
  <c r="O52" i="7" s="1"/>
  <c r="P71" i="9"/>
  <c r="M195" i="9"/>
  <c r="N195" i="9" s="1"/>
  <c r="O195" i="9" s="1"/>
  <c r="I73" i="9"/>
  <c r="K24" i="9" s="1"/>
  <c r="J72" i="9"/>
  <c r="L72" i="9" s="1"/>
  <c r="K72" i="9"/>
  <c r="M71" i="9"/>
  <c r="N71" i="9" s="1"/>
  <c r="O71" i="9" s="1"/>
  <c r="P270" i="9"/>
  <c r="P145" i="9"/>
  <c r="K197" i="9"/>
  <c r="J197" i="9"/>
  <c r="I198" i="9"/>
  <c r="U24" i="9" s="1"/>
  <c r="K122" i="9"/>
  <c r="J122" i="9"/>
  <c r="I123" i="9"/>
  <c r="O24" i="9" s="1"/>
  <c r="L171" i="9"/>
  <c r="P171" i="9" s="1"/>
  <c r="L221" i="9"/>
  <c r="P221" i="9" s="1"/>
  <c r="K247" i="9"/>
  <c r="I248" i="9"/>
  <c r="Y24" i="9" s="1"/>
  <c r="J247" i="9"/>
  <c r="M97" i="9"/>
  <c r="N97" i="9" s="1"/>
  <c r="O97" i="9" s="1"/>
  <c r="L196" i="9"/>
  <c r="M196" i="9" s="1"/>
  <c r="N196" i="9" s="1"/>
  <c r="O196" i="9" s="1"/>
  <c r="P196" i="9"/>
  <c r="M220" i="9"/>
  <c r="N220" i="9" s="1"/>
  <c r="O220" i="9" s="1"/>
  <c r="K172" i="9"/>
  <c r="J172" i="9"/>
  <c r="I173" i="9"/>
  <c r="S24" i="9" s="1"/>
  <c r="K147" i="9"/>
  <c r="J147" i="9"/>
  <c r="I148" i="9"/>
  <c r="Q24" i="9" s="1"/>
  <c r="P170" i="9"/>
  <c r="L271" i="9"/>
  <c r="M271" i="9" s="1"/>
  <c r="N271" i="9" s="1"/>
  <c r="O271" i="9" s="1"/>
  <c r="M120" i="9"/>
  <c r="N120" i="9" s="1"/>
  <c r="O120" i="9" s="1"/>
  <c r="L146" i="9"/>
  <c r="P146" i="9" s="1"/>
  <c r="L121" i="9"/>
  <c r="M121" i="9" s="1"/>
  <c r="N121" i="9" s="1"/>
  <c r="O121" i="9" s="1"/>
  <c r="P245" i="9"/>
  <c r="K272" i="9"/>
  <c r="J272" i="9"/>
  <c r="I273" i="9"/>
  <c r="AA24" i="9" s="1"/>
  <c r="K222" i="9"/>
  <c r="I223" i="9"/>
  <c r="W24" i="9" s="1"/>
  <c r="J222" i="9"/>
  <c r="L246" i="9"/>
  <c r="M246" i="9" s="1"/>
  <c r="N246" i="9" s="1"/>
  <c r="O246" i="9" s="1"/>
  <c r="L98" i="9"/>
  <c r="P98" i="9" s="1"/>
  <c r="I100" i="9"/>
  <c r="M26" i="9" s="1"/>
  <c r="K99" i="9"/>
  <c r="J99" i="9"/>
  <c r="M47" i="9"/>
  <c r="N47" i="9" s="1"/>
  <c r="L48" i="9"/>
  <c r="P48" i="9" s="1"/>
  <c r="J49" i="9"/>
  <c r="K49" i="9"/>
  <c r="I50" i="9"/>
  <c r="I26" i="9" s="1"/>
  <c r="O47" i="9" l="1"/>
  <c r="J23" i="9"/>
  <c r="E55" i="7"/>
  <c r="B56" i="7"/>
  <c r="D55" i="7"/>
  <c r="P53" i="7"/>
  <c r="M53" i="7"/>
  <c r="O53" i="7" s="1"/>
  <c r="I53" i="7"/>
  <c r="J53" i="7" s="1"/>
  <c r="K53" i="7" s="1"/>
  <c r="F54" i="7"/>
  <c r="N54" i="7" s="1"/>
  <c r="I54" i="7"/>
  <c r="J54" i="7" s="1"/>
  <c r="N53" i="7"/>
  <c r="T53" i="7"/>
  <c r="P72" i="9"/>
  <c r="M221" i="9"/>
  <c r="N221" i="9" s="1"/>
  <c r="O221" i="9" s="1"/>
  <c r="P271" i="9"/>
  <c r="I74" i="9"/>
  <c r="K25" i="9" s="1"/>
  <c r="J73" i="9"/>
  <c r="L73" i="9" s="1"/>
  <c r="K73" i="9"/>
  <c r="M98" i="9"/>
  <c r="N98" i="9" s="1"/>
  <c r="O98" i="9" s="1"/>
  <c r="P246" i="9"/>
  <c r="M72" i="9"/>
  <c r="N72" i="9" s="1"/>
  <c r="O72" i="9" s="1"/>
  <c r="M171" i="9"/>
  <c r="N171" i="9" s="1"/>
  <c r="O171" i="9" s="1"/>
  <c r="M146" i="9"/>
  <c r="N146" i="9" s="1"/>
  <c r="O146" i="9" s="1"/>
  <c r="K273" i="9"/>
  <c r="I274" i="9"/>
  <c r="AA25" i="9" s="1"/>
  <c r="J273" i="9"/>
  <c r="L172" i="9"/>
  <c r="P172" i="9" s="1"/>
  <c r="K248" i="9"/>
  <c r="J248" i="9"/>
  <c r="I249" i="9"/>
  <c r="Y25" i="9" s="1"/>
  <c r="L122" i="9"/>
  <c r="P122" i="9" s="1"/>
  <c r="L222" i="9"/>
  <c r="M222" i="9" s="1"/>
  <c r="N222" i="9" s="1"/>
  <c r="O222" i="9" s="1"/>
  <c r="L272" i="9"/>
  <c r="P272" i="9" s="1"/>
  <c r="P121" i="9"/>
  <c r="K223" i="9"/>
  <c r="J223" i="9"/>
  <c r="I224" i="9"/>
  <c r="W25" i="9" s="1"/>
  <c r="K148" i="9"/>
  <c r="J148" i="9"/>
  <c r="I149" i="9"/>
  <c r="Q25" i="9" s="1"/>
  <c r="K198" i="9"/>
  <c r="I199" i="9"/>
  <c r="U25" i="9" s="1"/>
  <c r="J198" i="9"/>
  <c r="L147" i="9"/>
  <c r="M147" i="9" s="1"/>
  <c r="N147" i="9" s="1"/>
  <c r="O147" i="9" s="1"/>
  <c r="K173" i="9"/>
  <c r="J173" i="9"/>
  <c r="I174" i="9"/>
  <c r="S25" i="9" s="1"/>
  <c r="L247" i="9"/>
  <c r="M247" i="9" s="1"/>
  <c r="N247" i="9" s="1"/>
  <c r="O247" i="9" s="1"/>
  <c r="K123" i="9"/>
  <c r="I124" i="9"/>
  <c r="O25" i="9" s="1"/>
  <c r="J123" i="9"/>
  <c r="L197" i="9"/>
  <c r="P197" i="9" s="1"/>
  <c r="K100" i="9"/>
  <c r="I101" i="9"/>
  <c r="J100" i="9"/>
  <c r="L99" i="9"/>
  <c r="P99" i="9" s="1"/>
  <c r="M48" i="9"/>
  <c r="N48" i="9" s="1"/>
  <c r="L49" i="9"/>
  <c r="M49" i="9" s="1"/>
  <c r="N49" i="9" s="1"/>
  <c r="K50" i="9"/>
  <c r="I51" i="9"/>
  <c r="J50" i="9"/>
  <c r="O48" i="9" l="1"/>
  <c r="J24" i="9"/>
  <c r="O49" i="9"/>
  <c r="J25" i="9"/>
  <c r="P73" i="9"/>
  <c r="D56" i="7"/>
  <c r="E56" i="7"/>
  <c r="T54" i="7"/>
  <c r="G55" i="7"/>
  <c r="H55" i="7" s="1"/>
  <c r="G54" i="7"/>
  <c r="H54" i="7" s="1"/>
  <c r="K54" i="7" s="1"/>
  <c r="P54" i="7"/>
  <c r="M54" i="7"/>
  <c r="O54" i="7" s="1"/>
  <c r="T55" i="7"/>
  <c r="F55" i="7"/>
  <c r="I55" i="7" s="1"/>
  <c r="J55" i="7" s="1"/>
  <c r="K55" i="7" s="1"/>
  <c r="N55" i="7"/>
  <c r="P147" i="9"/>
  <c r="J74" i="9"/>
  <c r="L74" i="9" s="1"/>
  <c r="P74" i="9" s="1"/>
  <c r="I75" i="9"/>
  <c r="K26" i="9" s="1"/>
  <c r="K74" i="9"/>
  <c r="P222" i="9"/>
  <c r="M73" i="9"/>
  <c r="N73" i="9" s="1"/>
  <c r="O73" i="9" s="1"/>
  <c r="P247" i="9"/>
  <c r="M272" i="9"/>
  <c r="N272" i="9" s="1"/>
  <c r="O272" i="9" s="1"/>
  <c r="M172" i="9"/>
  <c r="N172" i="9" s="1"/>
  <c r="O172" i="9" s="1"/>
  <c r="M99" i="9"/>
  <c r="N99" i="9" s="1"/>
  <c r="O99" i="9" s="1"/>
  <c r="L198" i="9"/>
  <c r="P198" i="9" s="1"/>
  <c r="L148" i="9"/>
  <c r="P148" i="9" s="1"/>
  <c r="L223" i="9"/>
  <c r="P223" i="9" s="1"/>
  <c r="K274" i="9"/>
  <c r="I275" i="9"/>
  <c r="AA26" i="9" s="1"/>
  <c r="J274" i="9"/>
  <c r="L123" i="9"/>
  <c r="P123" i="9" s="1"/>
  <c r="K199" i="9"/>
  <c r="I200" i="9"/>
  <c r="U26" i="9" s="1"/>
  <c r="J199" i="9"/>
  <c r="K249" i="9"/>
  <c r="I250" i="9"/>
  <c r="Y26" i="9" s="1"/>
  <c r="J249" i="9"/>
  <c r="K124" i="9"/>
  <c r="J124" i="9"/>
  <c r="I125" i="9"/>
  <c r="O26" i="9" s="1"/>
  <c r="K174" i="9"/>
  <c r="I175" i="9"/>
  <c r="S26" i="9" s="1"/>
  <c r="J174" i="9"/>
  <c r="M122" i="9"/>
  <c r="N122" i="9" s="1"/>
  <c r="O122" i="9" s="1"/>
  <c r="M197" i="9"/>
  <c r="N197" i="9" s="1"/>
  <c r="O197" i="9" s="1"/>
  <c r="L248" i="9"/>
  <c r="M248" i="9" s="1"/>
  <c r="N248" i="9" s="1"/>
  <c r="O248" i="9" s="1"/>
  <c r="L173" i="9"/>
  <c r="P173" i="9" s="1"/>
  <c r="K149" i="9"/>
  <c r="I150" i="9"/>
  <c r="Q26" i="9" s="1"/>
  <c r="J149" i="9"/>
  <c r="K224" i="9"/>
  <c r="I225" i="9"/>
  <c r="W26" i="9" s="1"/>
  <c r="J224" i="9"/>
  <c r="L273" i="9"/>
  <c r="M273" i="9" s="1"/>
  <c r="N273" i="9" s="1"/>
  <c r="O273" i="9" s="1"/>
  <c r="L100" i="9"/>
  <c r="P100" i="9" s="1"/>
  <c r="I102" i="9"/>
  <c r="J101" i="9"/>
  <c r="K101" i="9"/>
  <c r="L50" i="9"/>
  <c r="P50" i="9" s="1"/>
  <c r="P49" i="9"/>
  <c r="K51" i="9"/>
  <c r="I52" i="9"/>
  <c r="J51" i="9"/>
  <c r="F56" i="7" l="1"/>
  <c r="M55" i="7"/>
  <c r="O55" i="7" s="1"/>
  <c r="P55" i="7"/>
  <c r="M198" i="9"/>
  <c r="N198" i="9" s="1"/>
  <c r="O198" i="9" s="1"/>
  <c r="M148" i="9"/>
  <c r="N148" i="9" s="1"/>
  <c r="O148" i="9" s="1"/>
  <c r="P248" i="9"/>
  <c r="M74" i="9"/>
  <c r="N74" i="9" s="1"/>
  <c r="O74" i="9" s="1"/>
  <c r="M173" i="9"/>
  <c r="N173" i="9" s="1"/>
  <c r="O173" i="9" s="1"/>
  <c r="J75" i="9"/>
  <c r="L75" i="9" s="1"/>
  <c r="P75" i="9" s="1"/>
  <c r="K75" i="9"/>
  <c r="I76" i="9"/>
  <c r="P273" i="9"/>
  <c r="M123" i="9"/>
  <c r="N123" i="9" s="1"/>
  <c r="O123" i="9" s="1"/>
  <c r="M223" i="9"/>
  <c r="N223" i="9" s="1"/>
  <c r="O223" i="9" s="1"/>
  <c r="L224" i="9"/>
  <c r="P224" i="9" s="1"/>
  <c r="K150" i="9"/>
  <c r="I151" i="9"/>
  <c r="J150" i="9"/>
  <c r="K275" i="9"/>
  <c r="I276" i="9"/>
  <c r="J275" i="9"/>
  <c r="K225" i="9"/>
  <c r="I226" i="9"/>
  <c r="J225" i="9"/>
  <c r="K125" i="9"/>
  <c r="J125" i="9"/>
  <c r="I126" i="9"/>
  <c r="L249" i="9"/>
  <c r="P249" i="9" s="1"/>
  <c r="L174" i="9"/>
  <c r="M174" i="9" s="1"/>
  <c r="N174" i="9" s="1"/>
  <c r="O174" i="9" s="1"/>
  <c r="L124" i="9"/>
  <c r="P124" i="9" s="1"/>
  <c r="K250" i="9"/>
  <c r="J250" i="9"/>
  <c r="I251" i="9"/>
  <c r="L199" i="9"/>
  <c r="P199" i="9" s="1"/>
  <c r="L149" i="9"/>
  <c r="M149" i="9" s="1"/>
  <c r="N149" i="9" s="1"/>
  <c r="O149" i="9" s="1"/>
  <c r="K175" i="9"/>
  <c r="I176" i="9"/>
  <c r="J175" i="9"/>
  <c r="K200" i="9"/>
  <c r="J200" i="9"/>
  <c r="I201" i="9"/>
  <c r="L274" i="9"/>
  <c r="P274" i="9" s="1"/>
  <c r="L101" i="9"/>
  <c r="P101" i="9" s="1"/>
  <c r="K102" i="9"/>
  <c r="J102" i="9"/>
  <c r="M100" i="9"/>
  <c r="N100" i="9" s="1"/>
  <c r="O100" i="9" s="1"/>
  <c r="M101" i="9"/>
  <c r="N101" i="9" s="1"/>
  <c r="O101" i="9" s="1"/>
  <c r="M50" i="9"/>
  <c r="N50" i="9" s="1"/>
  <c r="L51" i="9"/>
  <c r="P51" i="9" s="1"/>
  <c r="J52" i="9"/>
  <c r="K52" i="9"/>
  <c r="O50" i="9" l="1"/>
  <c r="J26" i="9"/>
  <c r="P56" i="7"/>
  <c r="M56" i="7"/>
  <c r="O56" i="7" s="1"/>
  <c r="I56" i="7"/>
  <c r="J56" i="7" s="1"/>
  <c r="T56" i="7"/>
  <c r="G56" i="7"/>
  <c r="H56" i="7" s="1"/>
  <c r="N56" i="7"/>
  <c r="P174" i="9"/>
  <c r="M75" i="9"/>
  <c r="N75" i="9" s="1"/>
  <c r="O75" i="9" s="1"/>
  <c r="K76" i="9"/>
  <c r="I77" i="9"/>
  <c r="J76" i="9"/>
  <c r="L76" i="9" s="1"/>
  <c r="M249" i="9"/>
  <c r="N249" i="9" s="1"/>
  <c r="O249" i="9" s="1"/>
  <c r="M224" i="9"/>
  <c r="N224" i="9" s="1"/>
  <c r="O224" i="9" s="1"/>
  <c r="L225" i="9"/>
  <c r="P225" i="9" s="1"/>
  <c r="K276" i="9"/>
  <c r="I277" i="9"/>
  <c r="J276" i="9"/>
  <c r="K201" i="9"/>
  <c r="J201" i="9"/>
  <c r="I202" i="9"/>
  <c r="M124" i="9"/>
  <c r="N124" i="9" s="1"/>
  <c r="O124" i="9" s="1"/>
  <c r="K251" i="9"/>
  <c r="I252" i="9"/>
  <c r="J251" i="9"/>
  <c r="M274" i="9"/>
  <c r="N274" i="9" s="1"/>
  <c r="O274" i="9" s="1"/>
  <c r="L125" i="9"/>
  <c r="M125" i="9" s="1"/>
  <c r="N125" i="9" s="1"/>
  <c r="O125" i="9" s="1"/>
  <c r="K226" i="9"/>
  <c r="J226" i="9"/>
  <c r="I227" i="9"/>
  <c r="K151" i="9"/>
  <c r="I152" i="9"/>
  <c r="J151" i="9"/>
  <c r="L200" i="9"/>
  <c r="P200" i="9" s="1"/>
  <c r="L175" i="9"/>
  <c r="P175" i="9" s="1"/>
  <c r="P149" i="9"/>
  <c r="L250" i="9"/>
  <c r="P250" i="9" s="1"/>
  <c r="M199" i="9"/>
  <c r="N199" i="9" s="1"/>
  <c r="O199" i="9" s="1"/>
  <c r="K126" i="9"/>
  <c r="I127" i="9"/>
  <c r="J126" i="9"/>
  <c r="L150" i="9"/>
  <c r="P150" i="9" s="1"/>
  <c r="K176" i="9"/>
  <c r="J176" i="9"/>
  <c r="I177" i="9"/>
  <c r="L275" i="9"/>
  <c r="M275" i="9" s="1"/>
  <c r="N275" i="9" s="1"/>
  <c r="O275" i="9" s="1"/>
  <c r="L102" i="9"/>
  <c r="M102" i="9" s="1"/>
  <c r="N102" i="9" s="1"/>
  <c r="O102" i="9" s="1"/>
  <c r="L52" i="9"/>
  <c r="M52" i="9" s="1"/>
  <c r="N52" i="9" s="1"/>
  <c r="O52" i="9" s="1"/>
  <c r="M51" i="9"/>
  <c r="N51" i="9" s="1"/>
  <c r="O51" i="9" s="1"/>
  <c r="K56" i="7" l="1"/>
  <c r="P76" i="9"/>
  <c r="M225" i="9"/>
  <c r="N225" i="9" s="1"/>
  <c r="O225" i="9" s="1"/>
  <c r="M76" i="9"/>
  <c r="N76" i="9" s="1"/>
  <c r="O76" i="9" s="1"/>
  <c r="K77" i="9"/>
  <c r="J77" i="9"/>
  <c r="L77" i="9" s="1"/>
  <c r="P77" i="9" s="1"/>
  <c r="P275" i="9"/>
  <c r="M200" i="9"/>
  <c r="N200" i="9" s="1"/>
  <c r="O200" i="9" s="1"/>
  <c r="M175" i="9"/>
  <c r="N175" i="9" s="1"/>
  <c r="O175" i="9" s="1"/>
  <c r="P102" i="9"/>
  <c r="K152" i="9"/>
  <c r="J152" i="9"/>
  <c r="L251" i="9"/>
  <c r="P251" i="9" s="1"/>
  <c r="L126" i="9"/>
  <c r="P126" i="9" s="1"/>
  <c r="K177" i="9"/>
  <c r="J177" i="9"/>
  <c r="K127" i="9"/>
  <c r="J127" i="9"/>
  <c r="K227" i="9"/>
  <c r="J227" i="9"/>
  <c r="P125" i="9"/>
  <c r="M150" i="9"/>
  <c r="N150" i="9" s="1"/>
  <c r="O150" i="9" s="1"/>
  <c r="K202" i="9"/>
  <c r="J202" i="9"/>
  <c r="K277" i="9"/>
  <c r="J277" i="9"/>
  <c r="M250" i="9"/>
  <c r="N250" i="9" s="1"/>
  <c r="O250" i="9" s="1"/>
  <c r="K252" i="9"/>
  <c r="J252" i="9"/>
  <c r="L201" i="9"/>
  <c r="P201" i="9" s="1"/>
  <c r="L176" i="9"/>
  <c r="M176" i="9" s="1"/>
  <c r="N176" i="9" s="1"/>
  <c r="O176" i="9" s="1"/>
  <c r="L151" i="9"/>
  <c r="P151" i="9" s="1"/>
  <c r="L226" i="9"/>
  <c r="P226" i="9" s="1"/>
  <c r="L276" i="9"/>
  <c r="P276" i="9" s="1"/>
  <c r="P52" i="9"/>
  <c r="M77" i="9" l="1"/>
  <c r="N77" i="9" s="1"/>
  <c r="O77" i="9" s="1"/>
  <c r="M251" i="9"/>
  <c r="N251" i="9" s="1"/>
  <c r="O251" i="9" s="1"/>
  <c r="M201" i="9"/>
  <c r="N201" i="9" s="1"/>
  <c r="O201" i="9" s="1"/>
  <c r="M126" i="9"/>
  <c r="N126" i="9" s="1"/>
  <c r="O126" i="9" s="1"/>
  <c r="L277" i="9"/>
  <c r="P277" i="9" s="1"/>
  <c r="M226" i="9"/>
  <c r="N226" i="9" s="1"/>
  <c r="O226" i="9" s="1"/>
  <c r="L127" i="9"/>
  <c r="P127" i="9" s="1"/>
  <c r="M151" i="9"/>
  <c r="N151" i="9" s="1"/>
  <c r="O151" i="9" s="1"/>
  <c r="M276" i="9"/>
  <c r="N276" i="9" s="1"/>
  <c r="O276" i="9" s="1"/>
  <c r="L252" i="9"/>
  <c r="P252" i="9" s="1"/>
  <c r="P176" i="9"/>
  <c r="L202" i="9"/>
  <c r="M202" i="9" s="1"/>
  <c r="N202" i="9" s="1"/>
  <c r="O202" i="9" s="1"/>
  <c r="L227" i="9"/>
  <c r="P227" i="9" s="1"/>
  <c r="L177" i="9"/>
  <c r="P177" i="9" s="1"/>
  <c r="L152" i="9"/>
  <c r="P152" i="9" s="1"/>
  <c r="M252" i="9" l="1"/>
  <c r="N252" i="9" s="1"/>
  <c r="O252" i="9" s="1"/>
  <c r="M277" i="9"/>
  <c r="N277" i="9" s="1"/>
  <c r="O277" i="9" s="1"/>
  <c r="M152" i="9"/>
  <c r="N152" i="9" s="1"/>
  <c r="O152" i="9" s="1"/>
  <c r="P202" i="9"/>
  <c r="M177" i="9"/>
  <c r="N177" i="9" s="1"/>
  <c r="O177" i="9" s="1"/>
  <c r="M127" i="9"/>
  <c r="N127" i="9" s="1"/>
  <c r="O127" i="9" s="1"/>
  <c r="M227" i="9"/>
  <c r="N227" i="9" s="1"/>
  <c r="O227" i="9" s="1"/>
</calcChain>
</file>

<file path=xl/sharedStrings.xml><?xml version="1.0" encoding="utf-8"?>
<sst xmlns="http://schemas.openxmlformats.org/spreadsheetml/2006/main" count="1002" uniqueCount="468">
  <si>
    <t>a</t>
  </si>
  <si>
    <t>b</t>
  </si>
  <si>
    <t>inches</t>
  </si>
  <si>
    <t>WR10</t>
  </si>
  <si>
    <t>freq</t>
  </si>
  <si>
    <t>ghz</t>
  </si>
  <si>
    <t>k</t>
  </si>
  <si>
    <t>RS</t>
  </si>
  <si>
    <t>fc</t>
  </si>
  <si>
    <t>kc</t>
  </si>
  <si>
    <t>beta</t>
  </si>
  <si>
    <t>meter^-1</t>
  </si>
  <si>
    <t>sigma</t>
  </si>
  <si>
    <t>m/s</t>
  </si>
  <si>
    <t>alpha</t>
  </si>
  <si>
    <t>eta</t>
  </si>
  <si>
    <t>dB/m</t>
  </si>
  <si>
    <t>dB/cm</t>
  </si>
  <si>
    <t>ZTE</t>
  </si>
  <si>
    <t>WR90</t>
  </si>
  <si>
    <t>Np/m</t>
  </si>
  <si>
    <t>WR62</t>
  </si>
  <si>
    <t>WR42</t>
  </si>
  <si>
    <t>WR19</t>
  </si>
  <si>
    <t>WR15</t>
  </si>
  <si>
    <t>WR12</t>
  </si>
  <si>
    <t>(above cut-off for plot)</t>
  </si>
  <si>
    <t>u0</t>
  </si>
  <si>
    <t>e0</t>
  </si>
  <si>
    <t>Compliments of Microwaves101.com!</t>
  </si>
  <si>
    <t>Waveguide Frequency Ranges, Dimensions and Designations</t>
  </si>
  <si>
    <t>Range</t>
  </si>
  <si>
    <t>Internal</t>
  </si>
  <si>
    <t>Official Designations</t>
  </si>
  <si>
    <t>Commercial Designations</t>
  </si>
  <si>
    <t>GHz</t>
  </si>
  <si>
    <t>(inches)</t>
  </si>
  <si>
    <t>(mm. approx)</t>
  </si>
  <si>
    <t>I.E.C.</t>
  </si>
  <si>
    <t>U.K. (RCSC)</t>
  </si>
  <si>
    <t>U.S. (EIA)</t>
  </si>
  <si>
    <t>U.S. (JAN)</t>
  </si>
  <si>
    <t>U K</t>
  </si>
  <si>
    <t>D-B</t>
  </si>
  <si>
    <t>H-P</t>
  </si>
  <si>
    <t>MRI</t>
  </si>
  <si>
    <t>Narda</t>
  </si>
  <si>
    <t>Philips</t>
  </si>
  <si>
    <t>TRG</t>
  </si>
  <si>
    <t>0.32 - 0.49</t>
  </si>
  <si>
    <t>584.0 x 292.0</t>
  </si>
  <si>
    <t>WG00</t>
  </si>
  <si>
    <t>WR2300</t>
  </si>
  <si>
    <t>0.35 - 0.53</t>
  </si>
  <si>
    <t>21.0 x 10.5</t>
  </si>
  <si>
    <t>533.0 x 267.0</t>
  </si>
  <si>
    <t>WG0</t>
  </si>
  <si>
    <t>WR2100</t>
  </si>
  <si>
    <t>0.41 - 0.625</t>
  </si>
  <si>
    <t>18.0 x 9.0</t>
  </si>
  <si>
    <t>457.0 x 229 0</t>
  </si>
  <si>
    <t>WG1</t>
  </si>
  <si>
    <t>WR1800</t>
  </si>
  <si>
    <t>RG-201/U</t>
  </si>
  <si>
    <t>0.49 - 0 75</t>
  </si>
  <si>
    <t>15.0 x 7.5</t>
  </si>
  <si>
    <t>381.0 x 191.0</t>
  </si>
  <si>
    <t>WG2</t>
  </si>
  <si>
    <t>WR1500</t>
  </si>
  <si>
    <t>RG-202/U</t>
  </si>
  <si>
    <t>0.64 - 0.96</t>
  </si>
  <si>
    <t>11.5 x 5.75</t>
  </si>
  <si>
    <t>292.0 x 146 0</t>
  </si>
  <si>
    <t>WG3</t>
  </si>
  <si>
    <t>WR1150</t>
  </si>
  <si>
    <t>RG-203/U</t>
  </si>
  <si>
    <t>0.75 - 1.12</t>
  </si>
  <si>
    <t>9.75 x 4.875</t>
  </si>
  <si>
    <t>248.0 x 124.0</t>
  </si>
  <si>
    <t>WG4</t>
  </si>
  <si>
    <t>WR975</t>
  </si>
  <si>
    <t>RG-204/U</t>
  </si>
  <si>
    <t>P</t>
  </si>
  <si>
    <t>0.96 - 1.45</t>
  </si>
  <si>
    <t>7.7 x 3.85</t>
  </si>
  <si>
    <t>196.0 x 98.0</t>
  </si>
  <si>
    <t>WG5</t>
  </si>
  <si>
    <t>WR770</t>
  </si>
  <si>
    <t>RG-205/U</t>
  </si>
  <si>
    <t>1.12 - 1.7</t>
  </si>
  <si>
    <t>6.5 x 3.25</t>
  </si>
  <si>
    <t>165.0 x 83.0</t>
  </si>
  <si>
    <t>R14</t>
  </si>
  <si>
    <t>WG6</t>
  </si>
  <si>
    <t>WR650</t>
  </si>
  <si>
    <t>RG-69/U</t>
  </si>
  <si>
    <t>L</t>
  </si>
  <si>
    <t>L(25cm)</t>
  </si>
  <si>
    <t>1.45 - 2.2</t>
  </si>
  <si>
    <t>5.1 x 2.55</t>
  </si>
  <si>
    <t>131.0 x 65.0</t>
  </si>
  <si>
    <t>R18</t>
  </si>
  <si>
    <t>WG7</t>
  </si>
  <si>
    <t>WR510</t>
  </si>
  <si>
    <t>D</t>
  </si>
  <si>
    <t>1.7 - 2.6</t>
  </si>
  <si>
    <t>4.3 x 2.15</t>
  </si>
  <si>
    <t>109.0 x 55.0</t>
  </si>
  <si>
    <t>R22</t>
  </si>
  <si>
    <t>WG8</t>
  </si>
  <si>
    <t>WR430</t>
  </si>
  <si>
    <t>RG-104/U</t>
  </si>
  <si>
    <t>M</t>
  </si>
  <si>
    <t>LS</t>
  </si>
  <si>
    <t>2.2 - 3.3</t>
  </si>
  <si>
    <t>3.4 x 1.7</t>
  </si>
  <si>
    <t>86.0 x 43.0</t>
  </si>
  <si>
    <t>R26</t>
  </si>
  <si>
    <t>WG9A</t>
  </si>
  <si>
    <t>WR340</t>
  </si>
  <si>
    <t>RG-112/U</t>
  </si>
  <si>
    <t>2.6 - 3.95</t>
  </si>
  <si>
    <t>2.84 x 1.34</t>
  </si>
  <si>
    <t>72.0 x 34.0</t>
  </si>
  <si>
    <t>R32</t>
  </si>
  <si>
    <t>WG10</t>
  </si>
  <si>
    <t>WR284</t>
  </si>
  <si>
    <t>RG-48/U</t>
  </si>
  <si>
    <t>S</t>
  </si>
  <si>
    <t>S(10cm)</t>
  </si>
  <si>
    <t>3.3 - 4.9</t>
  </si>
  <si>
    <t>2.29 x 1.145</t>
  </si>
  <si>
    <t>59.0 x 29.0</t>
  </si>
  <si>
    <t>R40</t>
  </si>
  <si>
    <t>WG11A</t>
  </si>
  <si>
    <t>WR229</t>
  </si>
  <si>
    <t>A(7.5cm)</t>
  </si>
  <si>
    <t>3.95 - 5.85</t>
  </si>
  <si>
    <t>1.872 x 0.872</t>
  </si>
  <si>
    <t>48.0 x 22.0</t>
  </si>
  <si>
    <t>R48</t>
  </si>
  <si>
    <t>WG12</t>
  </si>
  <si>
    <t>WR187</t>
  </si>
  <si>
    <t>RG-49/U</t>
  </si>
  <si>
    <t>C</t>
  </si>
  <si>
    <t>K</t>
  </si>
  <si>
    <t>G</t>
  </si>
  <si>
    <t>C(6cm)</t>
  </si>
  <si>
    <t>4.9 - 7.05</t>
  </si>
  <si>
    <t>1.59 x 0.795</t>
  </si>
  <si>
    <t>40.0 x 20.0</t>
  </si>
  <si>
    <t>R58</t>
  </si>
  <si>
    <t>WG13</t>
  </si>
  <si>
    <t>WR159</t>
  </si>
  <si>
    <t>5.85 - 8.2</t>
  </si>
  <si>
    <t>1.372 x 0.622</t>
  </si>
  <si>
    <t>35.0 x 16.0</t>
  </si>
  <si>
    <t>R70</t>
  </si>
  <si>
    <t>WG14</t>
  </si>
  <si>
    <t>WR137</t>
  </si>
  <si>
    <t>RG-50/U</t>
  </si>
  <si>
    <t>J</t>
  </si>
  <si>
    <t>XB</t>
  </si>
  <si>
    <t>XN</t>
  </si>
  <si>
    <t>J(4.5cm)</t>
  </si>
  <si>
    <t>7.05 - 10.0</t>
  </si>
  <si>
    <t>1.122 x 0.497</t>
  </si>
  <si>
    <t>29.0 x 13.0</t>
  </si>
  <si>
    <t>R84</t>
  </si>
  <si>
    <t>WG15</t>
  </si>
  <si>
    <t>WR112</t>
  </si>
  <si>
    <t>RG-51/U</t>
  </si>
  <si>
    <t>H</t>
  </si>
  <si>
    <t>XL</t>
  </si>
  <si>
    <t>H(3.5cm)</t>
  </si>
  <si>
    <t>8.2 - 12.4</t>
  </si>
  <si>
    <t>0.9 x 0.4</t>
  </si>
  <si>
    <t>23.0 x 10.0</t>
  </si>
  <si>
    <t>R100</t>
  </si>
  <si>
    <t>WG16</t>
  </si>
  <si>
    <t>RG-52/U</t>
  </si>
  <si>
    <t>X</t>
  </si>
  <si>
    <t>X(3cm)</t>
  </si>
  <si>
    <t>10.0 - 15.0</t>
  </si>
  <si>
    <t>0.75 x 0.375</t>
  </si>
  <si>
    <t>19.0 x 9.5</t>
  </si>
  <si>
    <t>R120</t>
  </si>
  <si>
    <t>WG17</t>
  </si>
  <si>
    <t>WR75</t>
  </si>
  <si>
    <t>FA</t>
  </si>
  <si>
    <t>12.4 - 18.0</t>
  </si>
  <si>
    <t>0.622 x 0.311</t>
  </si>
  <si>
    <t>16.0 x 7.9</t>
  </si>
  <si>
    <t>R140</t>
  </si>
  <si>
    <t>WG18</t>
  </si>
  <si>
    <t>RG-91/U</t>
  </si>
  <si>
    <t>KU</t>
  </si>
  <si>
    <t>P(2cm)</t>
  </si>
  <si>
    <t>Ku</t>
  </si>
  <si>
    <t>15.0 - 22.0</t>
  </si>
  <si>
    <t>0.510 x 0.255</t>
  </si>
  <si>
    <t>13.0 x 5.8</t>
  </si>
  <si>
    <t>R180</t>
  </si>
  <si>
    <t>WG19</t>
  </si>
  <si>
    <t>WR51</t>
  </si>
  <si>
    <t>N</t>
  </si>
  <si>
    <t>18.0 - 26.5</t>
  </si>
  <si>
    <t>0.420 x 0.170</t>
  </si>
  <si>
    <t>11.0 x 4.3</t>
  </si>
  <si>
    <t>R220</t>
  </si>
  <si>
    <t>WG20</t>
  </si>
  <si>
    <t>RG-53/U</t>
  </si>
  <si>
    <t>E</t>
  </si>
  <si>
    <t>22.0 - 33.0</t>
  </si>
  <si>
    <t>0.340 x 0.170</t>
  </si>
  <si>
    <t>8.6 x 4.3</t>
  </si>
  <si>
    <t>R260</t>
  </si>
  <si>
    <t>WG21</t>
  </si>
  <si>
    <t>WR34</t>
  </si>
  <si>
    <t>I</t>
  </si>
  <si>
    <t>26.5 - 40.0</t>
  </si>
  <si>
    <t>0.280 x 0.140</t>
  </si>
  <si>
    <t>7.1 x 3.6</t>
  </si>
  <si>
    <t>R320</t>
  </si>
  <si>
    <t>WG22</t>
  </si>
  <si>
    <t xml:space="preserve">WR28 </t>
  </si>
  <si>
    <t>RG-96/U</t>
  </si>
  <si>
    <t>Q</t>
  </si>
  <si>
    <t>R</t>
  </si>
  <si>
    <t>V</t>
  </si>
  <si>
    <t>Q(8mm)</t>
  </si>
  <si>
    <t>A</t>
  </si>
  <si>
    <t>33.0 - 50.0</t>
  </si>
  <si>
    <t>0.224 x 0.112</t>
  </si>
  <si>
    <t>5.7 x 2.9</t>
  </si>
  <si>
    <t>R400</t>
  </si>
  <si>
    <t xml:space="preserve">WG23 </t>
  </si>
  <si>
    <t>WR22</t>
  </si>
  <si>
    <t>RG-97/U</t>
  </si>
  <si>
    <t>B</t>
  </si>
  <si>
    <t>40.0 - 60.0</t>
  </si>
  <si>
    <t>0.188 x 0.094</t>
  </si>
  <si>
    <t>4.8 x 2.4</t>
  </si>
  <si>
    <t>R500</t>
  </si>
  <si>
    <t>WG24</t>
  </si>
  <si>
    <t>U</t>
  </si>
  <si>
    <t>50.0 - 75.0</t>
  </si>
  <si>
    <t>0.148 x 0.074</t>
  </si>
  <si>
    <t>3.8 x 1.9</t>
  </si>
  <si>
    <t>R620</t>
  </si>
  <si>
    <t>WG25</t>
  </si>
  <si>
    <t>RG-98/U</t>
  </si>
  <si>
    <t>60.0 - 90.0</t>
  </si>
  <si>
    <t>0.122 x 0.061</t>
  </si>
  <si>
    <t>3.1 x 1.6</t>
  </si>
  <si>
    <t>R740</t>
  </si>
  <si>
    <t>WG26</t>
  </si>
  <si>
    <t>RG-99/U</t>
  </si>
  <si>
    <t>O</t>
  </si>
  <si>
    <t>E(4mm)</t>
  </si>
  <si>
    <t>75.0 - 110.0</t>
  </si>
  <si>
    <t>0.100 x 0.050</t>
  </si>
  <si>
    <t>2.4 x 1.3</t>
  </si>
  <si>
    <t>R900</t>
  </si>
  <si>
    <t>WG27</t>
  </si>
  <si>
    <t>W</t>
  </si>
  <si>
    <t>90.0 - 140.0</t>
  </si>
  <si>
    <t>0.080 x 0.040</t>
  </si>
  <si>
    <t>2.0 x 1.0</t>
  </si>
  <si>
    <t>R1200</t>
  </si>
  <si>
    <t>WG28</t>
  </si>
  <si>
    <t>WR8</t>
  </si>
  <si>
    <t>RG-138/U</t>
  </si>
  <si>
    <t>F</t>
  </si>
  <si>
    <t>110.0 - 170.0</t>
  </si>
  <si>
    <t>0.065 x 0.0325</t>
  </si>
  <si>
    <t>1.7 x 0.82</t>
  </si>
  <si>
    <t>WG29</t>
  </si>
  <si>
    <t>WR7</t>
  </si>
  <si>
    <t>RG-136/U</t>
  </si>
  <si>
    <t>B(2mm)</t>
  </si>
  <si>
    <t>140.0 - 220.0</t>
  </si>
  <si>
    <t>0.051 x 0.0255</t>
  </si>
  <si>
    <t>1.3 x 0.65</t>
  </si>
  <si>
    <t>WG30</t>
  </si>
  <si>
    <t>WR5</t>
  </si>
  <si>
    <t>RG-135/U</t>
  </si>
  <si>
    <t>170.0 - 260.0</t>
  </si>
  <si>
    <t>0.043 x 0.0215</t>
  </si>
  <si>
    <t>1.1 x 0.55</t>
  </si>
  <si>
    <t>WG31</t>
  </si>
  <si>
    <t>WR4</t>
  </si>
  <si>
    <t>RG-137/U</t>
  </si>
  <si>
    <t>220.0 - 325.0</t>
  </si>
  <si>
    <t>0.034 x 0.017</t>
  </si>
  <si>
    <t>0.87 x 0.44</t>
  </si>
  <si>
    <t>WG32</t>
  </si>
  <si>
    <t>WR3</t>
  </si>
  <si>
    <t>RG-139/U</t>
  </si>
  <si>
    <t>NOTE: Every care has been taken to ensure the information contained in this table is correct, but Microwaves101.com cannot accept any liability for errors!</t>
  </si>
  <si>
    <t>c</t>
  </si>
  <si>
    <t>tanD</t>
  </si>
  <si>
    <t>a/b</t>
  </si>
  <si>
    <t>mm</t>
  </si>
  <si>
    <t>m</t>
  </si>
  <si>
    <t>wave/m</t>
  </si>
  <si>
    <t>lambda_c</t>
  </si>
  <si>
    <t>ohms</t>
  </si>
  <si>
    <t>ohms/sq</t>
  </si>
  <si>
    <t>waves/m</t>
  </si>
  <si>
    <t>S/m</t>
  </si>
  <si>
    <t>alphad</t>
  </si>
  <si>
    <t>alpha_c</t>
  </si>
  <si>
    <t>total loss</t>
  </si>
  <si>
    <t>This is the waveguide lookup table, don't mess with it!</t>
  </si>
  <si>
    <t>EIA</t>
  </si>
  <si>
    <t>Enter your favorite  frequency</t>
  </si>
  <si>
    <t>vp</t>
  </si>
  <si>
    <t>length</t>
  </si>
  <si>
    <t>vg</t>
  </si>
  <si>
    <t>GD</t>
  </si>
  <si>
    <t>ps</t>
  </si>
  <si>
    <t>lambdaG</t>
  </si>
  <si>
    <t>Enter data in blue fields</t>
  </si>
  <si>
    <t>Data for plot</t>
  </si>
  <si>
    <t>Single-point calculation</t>
  </si>
  <si>
    <t>(metal conductivity)</t>
  </si>
  <si>
    <t>This sheet plots metal losses of several waveguides that you choose</t>
  </si>
  <si>
    <t>factor2:</t>
  </si>
  <si>
    <t>factor1:</t>
  </si>
  <si>
    <t>step factor</t>
  </si>
  <si>
    <t>`</t>
  </si>
  <si>
    <t>Caution: material lists must remain in alphabetical order!</t>
  </si>
  <si>
    <t>Conductor material list</t>
  </si>
  <si>
    <t>Resistivity</t>
  </si>
  <si>
    <t>Conductivity</t>
  </si>
  <si>
    <t>MuR</t>
  </si>
  <si>
    <t>Material</t>
  </si>
  <si>
    <t>Formula</t>
  </si>
  <si>
    <t>micro-ohm-cm</t>
  </si>
  <si>
    <t>ohm-cm</t>
  </si>
  <si>
    <t>ohm-m</t>
  </si>
  <si>
    <t>mhos/m</t>
  </si>
  <si>
    <t>aaa User defined 1</t>
  </si>
  <si>
    <t>poly Si</t>
  </si>
  <si>
    <t>aab User defined 2</t>
  </si>
  <si>
    <t>aac User defined 3</t>
  </si>
  <si>
    <t>Aluminum</t>
  </si>
  <si>
    <t>Al</t>
  </si>
  <si>
    <t>2.65</t>
  </si>
  <si>
    <t>Brass</t>
  </si>
  <si>
    <t>Bronze</t>
  </si>
  <si>
    <t>Carbon</t>
  </si>
  <si>
    <t>3000</t>
  </si>
  <si>
    <t>Chromium</t>
  </si>
  <si>
    <t>Cr</t>
  </si>
  <si>
    <t>18</t>
  </si>
  <si>
    <t>Copper</t>
  </si>
  <si>
    <t>Cu</t>
  </si>
  <si>
    <t>1.673</t>
  </si>
  <si>
    <t>Gold</t>
  </si>
  <si>
    <t>Au</t>
  </si>
  <si>
    <t>2.44</t>
  </si>
  <si>
    <t>Indium</t>
  </si>
  <si>
    <t>In</t>
  </si>
  <si>
    <t>15.52</t>
  </si>
  <si>
    <t>Iridium</t>
  </si>
  <si>
    <t>Ir</t>
  </si>
  <si>
    <t>5.3</t>
  </si>
  <si>
    <t>Iron</t>
  </si>
  <si>
    <t>Fe</t>
  </si>
  <si>
    <t>9.66</t>
  </si>
  <si>
    <t>Lead</t>
  </si>
  <si>
    <t>Pb</t>
  </si>
  <si>
    <t>20.65</t>
  </si>
  <si>
    <t>Magnesium</t>
  </si>
  <si>
    <t>Mg</t>
  </si>
  <si>
    <t>4.2</t>
  </si>
  <si>
    <t>Nickel</t>
  </si>
  <si>
    <t>Ni</t>
  </si>
  <si>
    <t>8.707</t>
  </si>
  <si>
    <t>Nichrome</t>
  </si>
  <si>
    <t>Ni80/Cr20</t>
  </si>
  <si>
    <t>110</t>
  </si>
  <si>
    <t>Palladium</t>
  </si>
  <si>
    <t>Pd</t>
  </si>
  <si>
    <t>10.62</t>
  </si>
  <si>
    <t>Platinum</t>
  </si>
  <si>
    <t>Pt</t>
  </si>
  <si>
    <t>Rhodium</t>
  </si>
  <si>
    <t>Rh</t>
  </si>
  <si>
    <t>4.51</t>
  </si>
  <si>
    <t>Silicon (HRS)</t>
  </si>
  <si>
    <t>Si</t>
  </si>
  <si>
    <t>Silicon (LRS)</t>
  </si>
  <si>
    <t>Silver</t>
  </si>
  <si>
    <t>Ag</t>
  </si>
  <si>
    <t>1.59</t>
  </si>
  <si>
    <t>Stainless steel</t>
  </si>
  <si>
    <t>Tantalum</t>
  </si>
  <si>
    <t>Ta</t>
  </si>
  <si>
    <t>Tantalum nitride</t>
  </si>
  <si>
    <t>TaN</t>
  </si>
  <si>
    <t>252</t>
  </si>
  <si>
    <t>Tin (white)</t>
  </si>
  <si>
    <t>Sn</t>
  </si>
  <si>
    <t>11.55</t>
  </si>
  <si>
    <t>Titanium</t>
  </si>
  <si>
    <t>Ti</t>
  </si>
  <si>
    <t>55</t>
  </si>
  <si>
    <t>Tungsten</t>
  </si>
  <si>
    <t>5.6</t>
  </si>
  <si>
    <t>Zinc</t>
  </si>
  <si>
    <t>Zn</t>
  </si>
  <si>
    <t>5.68</t>
  </si>
  <si>
    <t>Zirconium</t>
  </si>
  <si>
    <t>Zr</t>
  </si>
  <si>
    <t>4.1</t>
  </si>
  <si>
    <t>material</t>
  </si>
  <si>
    <t>metal</t>
  </si>
  <si>
    <t>no lookup table for the dielectric properties (yet!)</t>
  </si>
  <si>
    <t>vlight</t>
  </si>
  <si>
    <t>e'</t>
  </si>
  <si>
    <t>e''</t>
  </si>
  <si>
    <t>ER</t>
  </si>
  <si>
    <t>Enter the dielectric constaant</t>
  </si>
  <si>
    <t>real part of complex permittivity</t>
  </si>
  <si>
    <t>imaginary part of complex permittivity</t>
  </si>
  <si>
    <t>speed of light in free space</t>
  </si>
  <si>
    <t>speed of light in the dielectric</t>
  </si>
  <si>
    <t>F/m</t>
  </si>
  <si>
    <t>H/m</t>
  </si>
  <si>
    <t>Dielectric fill properties</t>
  </si>
  <si>
    <t>Waveguide material properties</t>
  </si>
  <si>
    <t>muR</t>
  </si>
  <si>
    <t>relative permeability</t>
  </si>
  <si>
    <t>WR28</t>
  </si>
  <si>
    <t>23.0 x 11.5</t>
  </si>
  <si>
    <t>Here is a much better list of waveguide dimensions:</t>
  </si>
  <si>
    <t>http://www.microwaves101.com/images/downloads/waveguide/TD-00036K.pdf</t>
  </si>
  <si>
    <t>http://www.microwaves101.com/images/downloads/waveguide/TD-00077B.pdf</t>
  </si>
  <si>
    <t xml:space="preserve">And here is a list of waveguide flange geometries </t>
  </si>
  <si>
    <t>List was updated 19 January 2015 to fix WR2300 dimension.</t>
  </si>
  <si>
    <t>WR2</t>
  </si>
  <si>
    <t>http://www.microwaves101.com/encyclopedias/rectangular-waveguide-dimensions</t>
  </si>
  <si>
    <t>We recommend you download "Uli's List" from this page:</t>
  </si>
  <si>
    <t>WR6.5</t>
  </si>
  <si>
    <t>WR5.1</t>
  </si>
  <si>
    <t>WR4.3</t>
  </si>
  <si>
    <t>WR3.4</t>
  </si>
  <si>
    <t>WR2.8</t>
  </si>
  <si>
    <t>WR2.2</t>
  </si>
  <si>
    <t>WR1.9</t>
  </si>
  <si>
    <t>WR1.5</t>
  </si>
  <si>
    <t>WR1.2</t>
  </si>
  <si>
    <t>WR1.0</t>
  </si>
  <si>
    <t>WR0.8</t>
  </si>
  <si>
    <t>WR0.65</t>
  </si>
  <si>
    <t>WR0.51</t>
  </si>
  <si>
    <t>Freq</t>
  </si>
  <si>
    <t>Choose:</t>
  </si>
  <si>
    <t>Atten</t>
  </si>
  <si>
    <t>WG</t>
  </si>
  <si>
    <t>Here is where you pick the waveguides and their material for the plot</t>
  </si>
  <si>
    <t>Note" Y-axis on plot says dB/cm, if you pick dB/m you need to change it</t>
  </si>
  <si>
    <t>Legend:</t>
  </si>
  <si>
    <t>Change the values in the blue fields only</t>
  </si>
  <si>
    <t>Erter the loss tangent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</si>
</sst>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E+00"/>
  </numFmts>
  <fonts count="15" x14ac:knownFonts="1">
    <font>
      <sz val="10"/>
      <name val="Arial"/>
    </font>
    <font>
      <sz val="8"/>
      <name val="Arial"/>
      <family val="2"/>
    </font>
    <font>
      <sz val="10"/>
      <name val="Helv"/>
    </font>
    <font>
      <b/>
      <i/>
      <sz val="22"/>
      <color indexed="12"/>
      <name val="Arial"/>
      <family val="2"/>
    </font>
    <font>
      <b/>
      <i/>
      <sz val="20"/>
      <name val="Helv"/>
    </font>
    <font>
      <sz val="16"/>
      <name val="Arial"/>
      <family val="2"/>
    </font>
    <font>
      <b/>
      <sz val="10"/>
      <name val="Helv"/>
    </font>
    <font>
      <b/>
      <sz val="10"/>
      <color indexed="12"/>
      <name val="Helv"/>
    </font>
    <font>
      <sz val="8"/>
      <color indexed="12"/>
      <name val="Helv"/>
    </font>
    <font>
      <b/>
      <sz val="10"/>
      <color indexed="12"/>
      <name val="Arial"/>
      <family val="2"/>
    </font>
    <font>
      <b/>
      <sz val="10"/>
      <name val="Arial"/>
      <family val="2"/>
    </font>
    <font>
      <sz val="10"/>
      <name val="Tahoma"/>
      <family val="2"/>
    </font>
    <font>
      <sz val="10"/>
      <name val="Arial"/>
      <family val="2"/>
    </font>
    <font>
      <u/>
      <sz val="10"/>
      <color theme="10"/>
      <name val="Arial"/>
      <family val="2"/>
    </font>
    <font>
      <sz val="11"/>
      <color rgb="FF000000"/>
      <name val="Arial"/>
      <family val="2"/>
    </font>
  </fonts>
  <fills count="8">
    <fill>
      <patternFill patternType="none"/>
    </fill>
    <fill>
      <patternFill patternType="gray125"/>
    </fill>
    <fill>
      <patternFill patternType="solid">
        <fgColor indexed="40"/>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rgb="FF000000"/>
      </right>
      <top style="medium">
        <color rgb="FFDDDDDD"/>
      </top>
      <bottom style="medium">
        <color rgb="FFDDDDDD"/>
      </bottom>
      <diagonal/>
    </border>
    <border>
      <left style="medium">
        <color rgb="FFDDDDDD"/>
      </left>
      <right style="medium">
        <color rgb="FFDDDDDD"/>
      </right>
      <top style="medium">
        <color rgb="FFDDDDDD"/>
      </top>
      <bottom style="medium">
        <color rgb="FFDDDDDD"/>
      </bottom>
      <diagonal/>
    </border>
  </borders>
  <cellStyleXfs count="3">
    <xf numFmtId="0" fontId="0" fillId="0" borderId="0"/>
    <xf numFmtId="0" fontId="13" fillId="0" borderId="0" applyNumberFormat="0" applyFill="0" applyBorder="0" applyAlignment="0" applyProtection="0"/>
    <xf numFmtId="0" fontId="2" fillId="0" borderId="0"/>
  </cellStyleXfs>
  <cellXfs count="56">
    <xf numFmtId="0" fontId="0" fillId="0" borderId="0" xfId="0"/>
    <xf numFmtId="11" fontId="0" fillId="0" borderId="0" xfId="0" applyNumberFormat="1"/>
    <xf numFmtId="164" fontId="0" fillId="0" borderId="0" xfId="0" applyNumberFormat="1"/>
    <xf numFmtId="0" fontId="2" fillId="0" borderId="0" xfId="2"/>
    <xf numFmtId="0" fontId="2" fillId="0" borderId="0" xfId="2" applyAlignment="1">
      <alignment horizontal="center"/>
    </xf>
    <xf numFmtId="0" fontId="3" fillId="0" borderId="0" xfId="2" applyFont="1"/>
    <xf numFmtId="0" fontId="4" fillId="0" borderId="0" xfId="2" applyFont="1"/>
    <xf numFmtId="0" fontId="4" fillId="0" borderId="0" xfId="2" applyFont="1" applyAlignment="1">
      <alignment horizontal="center"/>
    </xf>
    <xf numFmtId="0" fontId="5" fillId="0" borderId="0" xfId="2" applyFont="1"/>
    <xf numFmtId="0" fontId="6" fillId="0" borderId="0" xfId="2" applyNumberFormat="1" applyFont="1" applyAlignment="1">
      <alignment horizontal="left"/>
    </xf>
    <xf numFmtId="0" fontId="6" fillId="0" borderId="0" xfId="2" applyFont="1" applyAlignment="1">
      <alignment horizontal="left"/>
    </xf>
    <xf numFmtId="0" fontId="6" fillId="0" borderId="0" xfId="2" applyNumberFormat="1" applyFont="1" applyAlignment="1">
      <alignment horizontal="center"/>
    </xf>
    <xf numFmtId="0" fontId="6" fillId="0" borderId="0" xfId="2" applyFont="1" applyAlignment="1">
      <alignment horizontal="center"/>
    </xf>
    <xf numFmtId="0" fontId="7" fillId="0" borderId="0" xfId="2" applyFont="1" applyAlignment="1">
      <alignment horizontal="left"/>
    </xf>
    <xf numFmtId="0" fontId="7" fillId="0" borderId="0" xfId="2" applyNumberFormat="1" applyFont="1" applyAlignment="1">
      <alignment horizontal="left"/>
    </xf>
    <xf numFmtId="0" fontId="7" fillId="0" borderId="0" xfId="2" applyNumberFormat="1" applyFont="1" applyAlignment="1">
      <alignment horizontal="center"/>
    </xf>
    <xf numFmtId="0" fontId="7" fillId="0" borderId="0" xfId="2" applyFont="1" applyAlignment="1">
      <alignment horizontal="center"/>
    </xf>
    <xf numFmtId="0" fontId="2" fillId="0" borderId="0" xfId="2" applyNumberFormat="1"/>
    <xf numFmtId="0" fontId="2" fillId="0" borderId="0" xfId="2" applyNumberFormat="1" applyAlignment="1">
      <alignment horizontal="center"/>
    </xf>
    <xf numFmtId="0" fontId="2" fillId="0" borderId="0" xfId="2" applyNumberFormat="1" applyFont="1"/>
    <xf numFmtId="3" fontId="2" fillId="0" borderId="0" xfId="2" applyNumberFormat="1" applyAlignment="1">
      <alignment horizontal="left"/>
    </xf>
    <xf numFmtId="0" fontId="8" fillId="0" borderId="0" xfId="2" applyNumberFormat="1" applyFont="1"/>
    <xf numFmtId="0" fontId="8" fillId="0" borderId="0" xfId="2" applyFont="1"/>
    <xf numFmtId="0" fontId="8" fillId="0" borderId="0" xfId="2" applyFont="1" applyAlignment="1">
      <alignment horizontal="center"/>
    </xf>
    <xf numFmtId="165" fontId="0" fillId="0" borderId="0" xfId="0" applyNumberFormat="1"/>
    <xf numFmtId="0" fontId="0" fillId="2" borderId="0" xfId="0" applyFill="1"/>
    <xf numFmtId="0" fontId="0" fillId="0" borderId="0" xfId="0" applyFill="1"/>
    <xf numFmtId="0" fontId="9" fillId="0" borderId="0" xfId="0" applyFont="1"/>
    <xf numFmtId="0" fontId="10" fillId="3" borderId="0" xfId="0" applyFont="1" applyFill="1"/>
    <xf numFmtId="49" fontId="0" fillId="0" borderId="1" xfId="0" applyNumberFormat="1" applyBorder="1"/>
    <xf numFmtId="0" fontId="0" fillId="0" borderId="1" xfId="0" applyBorder="1"/>
    <xf numFmtId="49" fontId="0" fillId="4" borderId="1" xfId="0" applyNumberFormat="1" applyFill="1" applyBorder="1"/>
    <xf numFmtId="0" fontId="0" fillId="4" borderId="1" xfId="0" applyFill="1" applyBorder="1"/>
    <xf numFmtId="0" fontId="0" fillId="4" borderId="1" xfId="0" applyNumberFormat="1" applyFill="1" applyBorder="1" applyAlignment="1">
      <alignment horizontal="left"/>
    </xf>
    <xf numFmtId="11" fontId="0" fillId="0" borderId="1" xfId="0" applyNumberFormat="1" applyBorder="1"/>
    <xf numFmtId="0" fontId="0" fillId="0" borderId="1" xfId="0" applyNumberFormat="1" applyBorder="1"/>
    <xf numFmtId="0" fontId="11" fillId="5" borderId="1" xfId="0" applyFont="1" applyFill="1" applyBorder="1" applyAlignment="1">
      <alignment wrapText="1"/>
    </xf>
    <xf numFmtId="0" fontId="11" fillId="5" borderId="1" xfId="0" applyNumberFormat="1" applyFont="1" applyFill="1" applyBorder="1" applyAlignment="1">
      <alignment wrapText="1"/>
    </xf>
    <xf numFmtId="49" fontId="11" fillId="5" borderId="1" xfId="0" applyNumberFormat="1" applyFont="1" applyFill="1" applyBorder="1" applyAlignment="1">
      <alignment wrapText="1"/>
    </xf>
    <xf numFmtId="0" fontId="11" fillId="5" borderId="1" xfId="0" applyNumberFormat="1" applyFont="1" applyFill="1" applyBorder="1" applyAlignment="1">
      <alignment horizontal="left" wrapText="1"/>
    </xf>
    <xf numFmtId="11" fontId="0" fillId="0" borderId="0" xfId="0" applyNumberFormat="1" applyFill="1"/>
    <xf numFmtId="164" fontId="0" fillId="2" borderId="0" xfId="0" applyNumberFormat="1" applyFill="1"/>
    <xf numFmtId="165" fontId="0" fillId="0" borderId="0" xfId="0" applyNumberFormat="1" applyFill="1"/>
    <xf numFmtId="11" fontId="0" fillId="6" borderId="0" xfId="0" applyNumberFormat="1" applyFill="1"/>
    <xf numFmtId="0" fontId="10" fillId="0" borderId="0" xfId="0" applyFont="1"/>
    <xf numFmtId="0" fontId="12" fillId="0" borderId="0" xfId="0" applyFont="1"/>
    <xf numFmtId="164" fontId="10" fillId="0" borderId="0" xfId="0" applyNumberFormat="1" applyFont="1"/>
    <xf numFmtId="0" fontId="0" fillId="0" borderId="0" xfId="0" applyNumberFormat="1"/>
    <xf numFmtId="0" fontId="2" fillId="6" borderId="0" xfId="2" applyFill="1"/>
    <xf numFmtId="0" fontId="2" fillId="6" borderId="0" xfId="2" applyFill="1" applyAlignment="1">
      <alignment horizontal="center"/>
    </xf>
    <xf numFmtId="0" fontId="13" fillId="6" borderId="0" xfId="1" applyFill="1"/>
    <xf numFmtId="0" fontId="0" fillId="7" borderId="0" xfId="0" applyFill="1"/>
    <xf numFmtId="164" fontId="0" fillId="0" borderId="0" xfId="0" applyNumberFormat="1" applyFill="1"/>
    <xf numFmtId="0" fontId="12" fillId="0" borderId="0" xfId="0" applyFont="1" applyFill="1"/>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cellXfs>
  <cellStyles count="3">
    <cellStyle name="Hyperlink" xfId="1" builtinId="8"/>
    <cellStyle name="Normal" xfId="0" builtinId="0"/>
    <cellStyle name="Normal_Waveguide Table101_Rev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worksheet" Target="worksheets/sheet2.xml"/><Relationship Id="rId7"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sharedStrings" Target="sharedStrings.xml"/><Relationship Id="rId5" Type="http://schemas.openxmlformats.org/officeDocument/2006/relationships/chartsheet" Target="chartsheets/sheet3.xml"/><Relationship Id="rId10"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en-US"/>
              <a:t>Standard rectangular waveguide loss due to metal</a:t>
            </a:r>
          </a:p>
          <a:p>
            <a:pPr>
              <a:defRPr sz="1600" b="0" i="0" u="none" strike="noStrike" baseline="0">
                <a:solidFill>
                  <a:srgbClr val="000000"/>
                </a:solidFill>
                <a:latin typeface="Arial"/>
                <a:ea typeface="Arial"/>
                <a:cs typeface="Arial"/>
              </a:defRPr>
            </a:pPr>
            <a:r>
              <a:rPr lang="en-US"/>
              <a:t>Free spreadsheet from Microwaves101.com</a:t>
            </a:r>
          </a:p>
        </c:rich>
      </c:tx>
      <c:layout>
        <c:manualLayout>
          <c:xMode val="edge"/>
          <c:yMode val="edge"/>
          <c:x val="0.20164027380764488"/>
          <c:y val="3.2612897286697237E-2"/>
        </c:manualLayout>
      </c:layout>
      <c:overlay val="0"/>
      <c:spPr>
        <a:noFill/>
        <a:ln w="25400">
          <a:noFill/>
        </a:ln>
      </c:spPr>
    </c:title>
    <c:autoTitleDeleted val="0"/>
    <c:plotArea>
      <c:layout>
        <c:manualLayout>
          <c:layoutTarget val="inner"/>
          <c:xMode val="edge"/>
          <c:yMode val="edge"/>
          <c:x val="0.13409077268651898"/>
          <c:y val="0.11916092118819768"/>
          <c:w val="0.79352621936911127"/>
          <c:h val="0.7177068979617397"/>
        </c:manualLayout>
      </c:layout>
      <c:scatterChart>
        <c:scatterStyle val="smoothMarker"/>
        <c:varyColors val="0"/>
        <c:ser>
          <c:idx val="0"/>
          <c:order val="0"/>
          <c:tx>
            <c:strRef>
              <c:f>'Standard WGs'!$I$6</c:f>
              <c:strCache>
                <c:ptCount val="1"/>
                <c:pt idx="0">
                  <c:v>WR0.8 Copper</c:v>
                </c:pt>
              </c:strCache>
            </c:strRef>
          </c:tx>
          <c:spPr>
            <a:ln w="38100"/>
          </c:spPr>
          <c:marker>
            <c:symbol val="none"/>
          </c:marker>
          <c:xVal>
            <c:numRef>
              <c:f>'Standard WGs'!$I$8:$I$26</c:f>
              <c:numCache>
                <c:formatCode>0.0000</c:formatCode>
                <c:ptCount val="19"/>
                <c:pt idx="0">
                  <c:v>936.8514311241081</c:v>
                </c:pt>
                <c:pt idx="1">
                  <c:v>959.12834025389338</c:v>
                </c:pt>
                <c:pt idx="2">
                  <c:v>981.93496056721312</c:v>
                </c:pt>
                <c:pt idx="3">
                  <c:v>1005.2838877943065</c:v>
                </c:pt>
                <c:pt idx="4">
                  <c:v>1029.1880171728144</c:v>
                </c:pt>
                <c:pt idx="5">
                  <c:v>1053.6605505696123</c:v>
                </c:pt>
                <c:pt idx="6">
                  <c:v>1078.7150037719891</c:v>
                </c:pt>
                <c:pt idx="7">
                  <c:v>1104.3652139521998</c:v>
                </c:pt>
                <c:pt idx="8">
                  <c:v>1130.6253473095132</c:v>
                </c:pt>
                <c:pt idx="9">
                  <c:v>1157.5099068939767</c:v>
                </c:pt>
                <c:pt idx="10">
                  <c:v>1185.0337406162175</c:v>
                </c:pt>
                <c:pt idx="11">
                  <c:v>1213.212049447706</c:v>
                </c:pt>
                <c:pt idx="12">
                  <c:v>1242.0603958160075</c:v>
                </c:pt>
                <c:pt idx="13">
                  <c:v>1271.5947121996614</c:v>
                </c:pt>
                <c:pt idx="14">
                  <c:v>1301.8313099274335</c:v>
                </c:pt>
                <c:pt idx="15">
                  <c:v>1332.786888186801</c:v>
                </c:pt>
                <c:pt idx="16">
                  <c:v>1364.4785432466451</c:v>
                </c:pt>
                <c:pt idx="17">
                  <c:v>1396.9237778992467</c:v>
                </c:pt>
                <c:pt idx="18">
                  <c:v>1430.1405111267966</c:v>
                </c:pt>
              </c:numCache>
            </c:numRef>
          </c:xVal>
          <c:yVal>
            <c:numRef>
              <c:f>'Standard WGs'!$J$8:$J$26</c:f>
              <c:numCache>
                <c:formatCode>0.00E+00</c:formatCode>
                <c:ptCount val="19"/>
                <c:pt idx="0">
                  <c:v>156.7635381420846</c:v>
                </c:pt>
                <c:pt idx="1">
                  <c:v>149.78150128285822</c:v>
                </c:pt>
                <c:pt idx="2">
                  <c:v>143.82617726332873</c:v>
                </c:pt>
                <c:pt idx="3">
                  <c:v>138.69185282069998</c:v>
                </c:pt>
                <c:pt idx="4">
                  <c:v>134.2270942281005</c:v>
                </c:pt>
                <c:pt idx="5">
                  <c:v>130.31759566458229</c:v>
                </c:pt>
                <c:pt idx="6">
                  <c:v>126.87522125731923</c:v>
                </c:pt>
                <c:pt idx="7">
                  <c:v>123.83075954360552</c:v>
                </c:pt>
                <c:pt idx="8">
                  <c:v>121.12898969996081</c:v>
                </c:pt>
                <c:pt idx="9">
                  <c:v>118.72523531605074</c:v>
                </c:pt>
                <c:pt idx="10">
                  <c:v>116.58290300781461</c:v>
                </c:pt>
                <c:pt idx="11">
                  <c:v>114.67168954452649</c:v>
                </c:pt>
                <c:pt idx="12">
                  <c:v>112.96625290645495</c:v>
                </c:pt>
                <c:pt idx="13">
                  <c:v>111.44521170070756</c:v>
                </c:pt>
                <c:pt idx="14">
                  <c:v>110.09038112184332</c:v>
                </c:pt>
                <c:pt idx="15">
                  <c:v>108.88618205301697</c:v>
                </c:pt>
                <c:pt idx="16">
                  <c:v>107.81917874292911</c:v>
                </c:pt>
                <c:pt idx="17">
                  <c:v>106.87771322963124</c:v>
                </c:pt>
                <c:pt idx="18">
                  <c:v>106.05161344360093</c:v>
                </c:pt>
              </c:numCache>
            </c:numRef>
          </c:yVal>
          <c:smooth val="1"/>
        </c:ser>
        <c:ser>
          <c:idx val="1"/>
          <c:order val="1"/>
          <c:tx>
            <c:strRef>
              <c:f>'Standard WGs'!$K$6</c:f>
              <c:strCache>
                <c:ptCount val="1"/>
                <c:pt idx="0">
                  <c:v>WR1.0 Copper</c:v>
                </c:pt>
              </c:strCache>
            </c:strRef>
          </c:tx>
          <c:spPr>
            <a:ln w="38100"/>
          </c:spPr>
          <c:marker>
            <c:symbol val="none"/>
          </c:marker>
          <c:xVal>
            <c:numRef>
              <c:f>'Standard WGs'!$K$8:$K$26</c:f>
              <c:numCache>
                <c:formatCode>0.00E+00</c:formatCode>
                <c:ptCount val="19"/>
                <c:pt idx="0">
                  <c:v>749.48114489928673</c:v>
                </c:pt>
                <c:pt idx="1">
                  <c:v>767.30267220311498</c:v>
                </c:pt>
                <c:pt idx="2">
                  <c:v>785.54796845377075</c:v>
                </c:pt>
                <c:pt idx="3">
                  <c:v>804.22711023544548</c:v>
                </c:pt>
                <c:pt idx="4">
                  <c:v>823.35041373825186</c:v>
                </c:pt>
                <c:pt idx="5">
                  <c:v>842.92844045569018</c:v>
                </c:pt>
                <c:pt idx="6">
                  <c:v>862.97200301759165</c:v>
                </c:pt>
                <c:pt idx="7">
                  <c:v>883.49217116176021</c:v>
                </c:pt>
                <c:pt idx="8">
                  <c:v>904.50027784761096</c:v>
                </c:pt>
                <c:pt idx="9">
                  <c:v>926.00792551518168</c:v>
                </c:pt>
                <c:pt idx="10">
                  <c:v>948.02699249297439</c:v>
                </c:pt>
                <c:pt idx="11">
                  <c:v>970.56963955816514</c:v>
                </c:pt>
                <c:pt idx="12">
                  <c:v>993.64831665280622</c:v>
                </c:pt>
                <c:pt idx="13">
                  <c:v>1017.2757697597293</c:v>
                </c:pt>
                <c:pt idx="14">
                  <c:v>1041.465047941947</c:v>
                </c:pt>
                <c:pt idx="15">
                  <c:v>1066.2295105494409</c:v>
                </c:pt>
                <c:pt idx="16">
                  <c:v>1091.5828345973162</c:v>
                </c:pt>
                <c:pt idx="17">
                  <c:v>1117.5390223193974</c:v>
                </c:pt>
                <c:pt idx="18">
                  <c:v>1144.1124089014374</c:v>
                </c:pt>
              </c:numCache>
            </c:numRef>
          </c:xVal>
          <c:yVal>
            <c:numRef>
              <c:f>'Standard WGs'!$L$8:$L$26</c:f>
              <c:numCache>
                <c:formatCode>0.00E+00</c:formatCode>
                <c:ptCount val="19"/>
                <c:pt idx="0">
                  <c:v>112.17085685730629</c:v>
                </c:pt>
                <c:pt idx="1">
                  <c:v>107.17491796494173</c:v>
                </c:pt>
                <c:pt idx="2">
                  <c:v>102.91363497751605</c:v>
                </c:pt>
                <c:pt idx="3">
                  <c:v>99.239811466393903</c:v>
                </c:pt>
                <c:pt idx="4">
                  <c:v>96.04509027721673</c:v>
                </c:pt>
                <c:pt idx="5">
                  <c:v>93.24768082250813</c:v>
                </c:pt>
                <c:pt idx="6">
                  <c:v>90.784518205341499</c:v>
                </c:pt>
                <c:pt idx="7">
                  <c:v>88.606078734378528</c:v>
                </c:pt>
                <c:pt idx="8">
                  <c:v>86.67284960479499</c:v>
                </c:pt>
                <c:pt idx="9">
                  <c:v>84.952862979631433</c:v>
                </c:pt>
                <c:pt idx="10">
                  <c:v>83.419934764716189</c:v>
                </c:pt>
                <c:pt idx="11">
                  <c:v>82.052381733220216</c:v>
                </c:pt>
                <c:pt idx="12">
                  <c:v>80.832070611925289</c:v>
                </c:pt>
                <c:pt idx="13">
                  <c:v>79.743702121483906</c:v>
                </c:pt>
                <c:pt idx="14">
                  <c:v>78.774264274336389</c:v>
                </c:pt>
                <c:pt idx="15">
                  <c:v>77.91260956190834</c:v>
                </c:pt>
                <c:pt idx="16">
                  <c:v>77.149124143164798</c:v>
                </c:pt>
                <c:pt idx="17">
                  <c:v>76.475466259578937</c:v>
                </c:pt>
                <c:pt idx="18">
                  <c:v>75.884357370695156</c:v>
                </c:pt>
              </c:numCache>
            </c:numRef>
          </c:yVal>
          <c:smooth val="1"/>
        </c:ser>
        <c:ser>
          <c:idx val="2"/>
          <c:order val="2"/>
          <c:tx>
            <c:strRef>
              <c:f>'Standard WGs'!$M$6</c:f>
              <c:strCache>
                <c:ptCount val="1"/>
                <c:pt idx="0">
                  <c:v>WR1.2 Copper</c:v>
                </c:pt>
              </c:strCache>
            </c:strRef>
          </c:tx>
          <c:spPr>
            <a:ln w="38100"/>
          </c:spPr>
          <c:marker>
            <c:symbol val="none"/>
          </c:marker>
          <c:xVal>
            <c:numRef>
              <c:f>'Standard WGs'!$M$8:$M$26</c:f>
              <c:numCache>
                <c:formatCode>0.00E+00</c:formatCode>
                <c:ptCount val="19"/>
                <c:pt idx="0">
                  <c:v>604.42027814458595</c:v>
                </c:pt>
                <c:pt idx="1">
                  <c:v>618.79247758315705</c:v>
                </c:pt>
                <c:pt idx="2">
                  <c:v>633.50642617239555</c:v>
                </c:pt>
                <c:pt idx="3">
                  <c:v>648.5702501898752</c:v>
                </c:pt>
                <c:pt idx="4">
                  <c:v>663.99226914375129</c:v>
                </c:pt>
                <c:pt idx="5">
                  <c:v>679.78100036749186</c:v>
                </c:pt>
                <c:pt idx="6">
                  <c:v>695.94516372386408</c:v>
                </c:pt>
                <c:pt idx="7">
                  <c:v>712.49368642077422</c:v>
                </c:pt>
                <c:pt idx="8">
                  <c:v>729.43570794162156</c:v>
                </c:pt>
                <c:pt idx="9">
                  <c:v>746.78058509288826</c:v>
                </c:pt>
                <c:pt idx="10">
                  <c:v>764.53789717175334</c:v>
                </c:pt>
                <c:pt idx="11">
                  <c:v>782.71745125658458</c:v>
                </c:pt>
                <c:pt idx="12">
                  <c:v>801.32928762323058</c:v>
                </c:pt>
                <c:pt idx="13">
                  <c:v>820.38368529010404</c:v>
                </c:pt>
                <c:pt idx="14">
                  <c:v>839.89116769511838</c:v>
                </c:pt>
                <c:pt idx="15">
                  <c:v>859.86250850761348</c:v>
                </c:pt>
                <c:pt idx="16">
                  <c:v>880.30873757848076</c:v>
                </c:pt>
                <c:pt idx="17">
                  <c:v>901.24114703177213</c:v>
                </c:pt>
                <c:pt idx="18">
                  <c:v>922.67129750115919</c:v>
                </c:pt>
              </c:numCache>
            </c:numRef>
          </c:xVal>
          <c:yVal>
            <c:numRef>
              <c:f>'Standard WGs'!$N$8:$N$26</c:f>
              <c:numCache>
                <c:formatCode>0.00E+00</c:formatCode>
                <c:ptCount val="19"/>
                <c:pt idx="0">
                  <c:v>81.235808969591204</c:v>
                </c:pt>
                <c:pt idx="1">
                  <c:v>77.617675446726565</c:v>
                </c:pt>
                <c:pt idx="2">
                  <c:v>74.531590696814675</c:v>
                </c:pt>
                <c:pt idx="3">
                  <c:v>71.870952868959179</c:v>
                </c:pt>
                <c:pt idx="4">
                  <c:v>69.557288094469243</c:v>
                </c:pt>
                <c:pt idx="5">
                  <c:v>67.531362408963176</c:v>
                </c:pt>
                <c:pt idx="6">
                  <c:v>65.747503272683872</c:v>
                </c:pt>
                <c:pt idx="7">
                  <c:v>64.169844889097746</c:v>
                </c:pt>
                <c:pt idx="8">
                  <c:v>62.769771495122725</c:v>
                </c:pt>
                <c:pt idx="9">
                  <c:v>61.524131506031942</c:v>
                </c:pt>
                <c:pt idx="10">
                  <c:v>60.413962009962525</c:v>
                </c:pt>
                <c:pt idx="11">
                  <c:v>59.423559690367888</c:v>
                </c:pt>
                <c:pt idx="12">
                  <c:v>58.539792160098536</c:v>
                </c:pt>
                <c:pt idx="13">
                  <c:v>57.751579452670491</c:v>
                </c:pt>
                <c:pt idx="14">
                  <c:v>57.049498092456325</c:v>
                </c:pt>
                <c:pt idx="15">
                  <c:v>56.425474887341657</c:v>
                </c:pt>
                <c:pt idx="16">
                  <c:v>55.872547350138142</c:v>
                </c:pt>
                <c:pt idx="17">
                  <c:v>55.384674254798782</c:v>
                </c:pt>
                <c:pt idx="18">
                  <c:v>54.956584373675085</c:v>
                </c:pt>
              </c:numCache>
            </c:numRef>
          </c:yVal>
          <c:smooth val="1"/>
        </c:ser>
        <c:ser>
          <c:idx val="3"/>
          <c:order val="3"/>
          <c:tx>
            <c:strRef>
              <c:f>'Standard WGs'!$O$6</c:f>
              <c:strCache>
                <c:ptCount val="1"/>
                <c:pt idx="0">
                  <c:v>WR1.5 Copper</c:v>
                </c:pt>
              </c:strCache>
            </c:strRef>
          </c:tx>
          <c:spPr>
            <a:ln w="38100"/>
          </c:spPr>
          <c:marker>
            <c:symbol val="none"/>
          </c:marker>
          <c:xVal>
            <c:numRef>
              <c:f>'Standard WGs'!$O$8:$O$26</c:f>
              <c:numCache>
                <c:formatCode>0.00E+00</c:formatCode>
                <c:ptCount val="19"/>
                <c:pt idx="0">
                  <c:v>493.07970059163597</c:v>
                </c:pt>
                <c:pt idx="1">
                  <c:v>504.80438960731243</c:v>
                </c:pt>
                <c:pt idx="2">
                  <c:v>516.8078739827439</c:v>
                </c:pt>
                <c:pt idx="3">
                  <c:v>529.09678304963518</c:v>
                </c:pt>
                <c:pt idx="4">
                  <c:v>541.67790377516565</c:v>
                </c:pt>
                <c:pt idx="5">
                  <c:v>554.55818451032246</c:v>
                </c:pt>
                <c:pt idx="6">
                  <c:v>567.74473882736288</c:v>
                </c:pt>
                <c:pt idx="7">
                  <c:v>581.24484944852645</c:v>
                </c:pt>
                <c:pt idx="8">
                  <c:v>595.06597226816507</c:v>
                </c:pt>
                <c:pt idx="9">
                  <c:v>609.21574047051422</c:v>
                </c:pt>
                <c:pt idx="10">
                  <c:v>623.70196874537783</c:v>
                </c:pt>
                <c:pt idx="11">
                  <c:v>638.53265760405588</c:v>
                </c:pt>
                <c:pt idx="12">
                  <c:v>653.71599779789869</c:v>
                </c:pt>
                <c:pt idx="13">
                  <c:v>669.26037484192705</c:v>
                </c:pt>
                <c:pt idx="14">
                  <c:v>685.17437364601767</c:v>
                </c:pt>
                <c:pt idx="15">
                  <c:v>701.4667832562111</c:v>
                </c:pt>
                <c:pt idx="16">
                  <c:v>718.14660170876073</c:v>
                </c:pt>
                <c:pt idx="17">
                  <c:v>735.22304099960365</c:v>
                </c:pt>
                <c:pt idx="18">
                  <c:v>752.70553217199836</c:v>
                </c:pt>
              </c:numCache>
            </c:numRef>
          </c:xVal>
          <c:yVal>
            <c:numRef>
              <c:f>'Standard WGs'!$P$8:$P$26</c:f>
              <c:numCache>
                <c:formatCode>0.00E+00</c:formatCode>
                <c:ptCount val="19"/>
                <c:pt idx="0">
                  <c:v>59.856959897524845</c:v>
                </c:pt>
                <c:pt idx="1">
                  <c:v>57.191011519229377</c:v>
                </c:pt>
                <c:pt idx="2">
                  <c:v>54.917092499293446</c:v>
                </c:pt>
                <c:pt idx="3">
                  <c:v>52.956655423774201</c:v>
                </c:pt>
                <c:pt idx="4">
                  <c:v>51.251878412508141</c:v>
                </c:pt>
                <c:pt idx="5">
                  <c:v>49.759116118996729</c:v>
                </c:pt>
                <c:pt idx="6">
                  <c:v>48.444715657704194</c:v>
                </c:pt>
                <c:pt idx="7">
                  <c:v>47.282250043141822</c:v>
                </c:pt>
                <c:pt idx="8">
                  <c:v>46.250634330074625</c:v>
                </c:pt>
                <c:pt idx="9">
                  <c:v>45.332809742377464</c:v>
                </c:pt>
                <c:pt idx="10">
                  <c:v>44.514803842657116</c:v>
                </c:pt>
                <c:pt idx="11">
                  <c:v>43.785045960285522</c:v>
                </c:pt>
                <c:pt idx="12">
                  <c:v>43.13385976187061</c:v>
                </c:pt>
                <c:pt idx="13">
                  <c:v>42.55308119860301</c:v>
                </c:pt>
                <c:pt idx="14">
                  <c:v>42.035766773398372</c:v>
                </c:pt>
                <c:pt idx="15">
                  <c:v>41.575967918220428</c:v>
                </c:pt>
                <c:pt idx="16">
                  <c:v>41.168554465453319</c:v>
                </c:pt>
                <c:pt idx="17">
                  <c:v>40.809075060087387</c:v>
                </c:pt>
                <c:pt idx="18">
                  <c:v>40.493645704831636</c:v>
                </c:pt>
              </c:numCache>
            </c:numRef>
          </c:yVal>
          <c:smooth val="1"/>
        </c:ser>
        <c:ser>
          <c:idx val="4"/>
          <c:order val="4"/>
          <c:tx>
            <c:strRef>
              <c:f>'Standard WGs'!$Q$6</c:f>
              <c:strCache>
                <c:ptCount val="1"/>
                <c:pt idx="0">
                  <c:v>WR1.9 Copper</c:v>
                </c:pt>
              </c:strCache>
            </c:strRef>
          </c:tx>
          <c:spPr>
            <a:ln w="38100"/>
          </c:spPr>
          <c:marker>
            <c:symbol val="none"/>
          </c:marker>
          <c:xVal>
            <c:numRef>
              <c:f>'Standard WGs'!$Q$8:$Q$26</c:f>
              <c:numCache>
                <c:formatCode>0.00E+00</c:formatCode>
                <c:ptCount val="19"/>
                <c:pt idx="0">
                  <c:v>398.66018345706726</c:v>
                </c:pt>
                <c:pt idx="1">
                  <c:v>408.13971925697587</c:v>
                </c:pt>
                <c:pt idx="2">
                  <c:v>417.84466407115445</c:v>
                </c:pt>
                <c:pt idx="3">
                  <c:v>427.78037778481121</c:v>
                </c:pt>
                <c:pt idx="4">
                  <c:v>437.95234773311245</c:v>
                </c:pt>
                <c:pt idx="5">
                  <c:v>448.36619173174984</c:v>
                </c:pt>
                <c:pt idx="6">
                  <c:v>459.0276611795698</c:v>
                </c:pt>
                <c:pt idx="7">
                  <c:v>469.94264423497862</c:v>
                </c:pt>
                <c:pt idx="8">
                  <c:v>481.11716906787797</c:v>
                </c:pt>
                <c:pt idx="9">
                  <c:v>492.55740718892622</c:v>
                </c:pt>
                <c:pt idx="10">
                  <c:v>504.2696768579649</c:v>
                </c:pt>
                <c:pt idx="11">
                  <c:v>516.26044657349189</c:v>
                </c:pt>
                <c:pt idx="12">
                  <c:v>528.53633864510948</c:v>
                </c:pt>
                <c:pt idx="13">
                  <c:v>541.10413285091965</c:v>
                </c:pt>
                <c:pt idx="14">
                  <c:v>553.97077018188656</c:v>
                </c:pt>
                <c:pt idx="15">
                  <c:v>567.14335667523437</c:v>
                </c:pt>
                <c:pt idx="16">
                  <c:v>580.62916733899783</c:v>
                </c:pt>
                <c:pt idx="17">
                  <c:v>594.43565016989214</c:v>
                </c:pt>
                <c:pt idx="18">
                  <c:v>608.57043026672193</c:v>
                </c:pt>
              </c:numCache>
            </c:numRef>
          </c:xVal>
          <c:yVal>
            <c:numRef>
              <c:f>'Standard WGs'!$R$8:$R$26</c:f>
              <c:numCache>
                <c:formatCode>0.00E+00</c:formatCode>
                <c:ptCount val="19"/>
                <c:pt idx="0">
                  <c:v>43.515428409049257</c:v>
                </c:pt>
                <c:pt idx="1">
                  <c:v>41.577309834424895</c:v>
                </c:pt>
                <c:pt idx="2">
                  <c:v>39.924192795246817</c:v>
                </c:pt>
                <c:pt idx="3">
                  <c:v>38.498974084569682</c:v>
                </c:pt>
                <c:pt idx="4">
                  <c:v>37.259617757182788</c:v>
                </c:pt>
                <c:pt idx="5">
                  <c:v>36.174394070142363</c:v>
                </c:pt>
                <c:pt idx="6">
                  <c:v>35.218837702560066</c:v>
                </c:pt>
                <c:pt idx="7">
                  <c:v>34.373736492691208</c:v>
                </c:pt>
                <c:pt idx="8">
                  <c:v>33.623761890164111</c:v>
                </c:pt>
                <c:pt idx="9">
                  <c:v>32.956512330440788</c:v>
                </c:pt>
                <c:pt idx="10">
                  <c:v>32.361829987261281</c:v>
                </c:pt>
                <c:pt idx="11">
                  <c:v>31.831303095473832</c:v>
                </c:pt>
                <c:pt idx="12">
                  <c:v>31.357897054695968</c:v>
                </c:pt>
                <c:pt idx="13">
                  <c:v>30.935676680747012</c:v>
                </c:pt>
                <c:pt idx="14">
                  <c:v>30.559594118694083</c:v>
                </c:pt>
                <c:pt idx="15">
                  <c:v>30.225324817357805</c:v>
                </c:pt>
                <c:pt idx="16">
                  <c:v>29.929139194714725</c:v>
                </c:pt>
                <c:pt idx="17">
                  <c:v>29.667801158912212</c:v>
                </c:pt>
                <c:pt idx="18">
                  <c:v>29.43848708164796</c:v>
                </c:pt>
              </c:numCache>
            </c:numRef>
          </c:yVal>
          <c:smooth val="1"/>
        </c:ser>
        <c:ser>
          <c:idx val="5"/>
          <c:order val="5"/>
          <c:tx>
            <c:strRef>
              <c:f>'Standard WGs'!$S$6</c:f>
              <c:strCache>
                <c:ptCount val="1"/>
                <c:pt idx="0">
                  <c:v>WR2.2 Copper</c:v>
                </c:pt>
              </c:strCache>
            </c:strRef>
          </c:tx>
          <c:spPr>
            <a:ln w="38100"/>
          </c:spPr>
          <c:marker>
            <c:symbol val="none"/>
          </c:marker>
          <c:xVal>
            <c:numRef>
              <c:f>'Standard WGs'!$S$8:$S$26</c:f>
              <c:numCache>
                <c:formatCode>0.00E+00</c:formatCode>
                <c:ptCount val="19"/>
                <c:pt idx="0">
                  <c:v>328.71980039442383</c:v>
                </c:pt>
                <c:pt idx="1">
                  <c:v>336.53625973820812</c:v>
                </c:pt>
                <c:pt idx="2">
                  <c:v>344.53858265516243</c:v>
                </c:pt>
                <c:pt idx="3">
                  <c:v>352.73118869975661</c:v>
                </c:pt>
                <c:pt idx="4">
                  <c:v>361.11860251677695</c:v>
                </c:pt>
                <c:pt idx="5">
                  <c:v>369.70545634021482</c:v>
                </c:pt>
                <c:pt idx="6">
                  <c:v>378.4964925515751</c:v>
                </c:pt>
                <c:pt idx="7">
                  <c:v>387.49656629901745</c:v>
                </c:pt>
                <c:pt idx="8">
                  <c:v>396.71064817877652</c:v>
                </c:pt>
                <c:pt idx="9">
                  <c:v>406.14382698034262</c:v>
                </c:pt>
                <c:pt idx="10">
                  <c:v>415.80131249691834</c:v>
                </c:pt>
                <c:pt idx="11">
                  <c:v>425.68843840270375</c:v>
                </c:pt>
                <c:pt idx="12">
                  <c:v>435.81066519859894</c:v>
                </c:pt>
                <c:pt idx="13">
                  <c:v>446.17358322795116</c:v>
                </c:pt>
                <c:pt idx="14">
                  <c:v>456.78291576401153</c:v>
                </c:pt>
                <c:pt idx="15">
                  <c:v>467.64452217080714</c:v>
                </c:pt>
                <c:pt idx="16">
                  <c:v>478.76440113917351</c:v>
                </c:pt>
                <c:pt idx="17">
                  <c:v>490.14869399973549</c:v>
                </c:pt>
                <c:pt idx="18">
                  <c:v>501.80368811466525</c:v>
                </c:pt>
              </c:numCache>
            </c:numRef>
          </c:xVal>
          <c:yVal>
            <c:numRef>
              <c:f>'Standard WGs'!$T$8:$T$26</c:f>
              <c:numCache>
                <c:formatCode>0.00E+00</c:formatCode>
                <c:ptCount val="19"/>
                <c:pt idx="0">
                  <c:v>32.582002067371391</c:v>
                </c:pt>
                <c:pt idx="1">
                  <c:v>31.13084357683266</c:v>
                </c:pt>
                <c:pt idx="2">
                  <c:v>29.893078840109837</c:v>
                </c:pt>
                <c:pt idx="3">
                  <c:v>28.825952060586243</c:v>
                </c:pt>
                <c:pt idx="4">
                  <c:v>27.897988993290955</c:v>
                </c:pt>
                <c:pt idx="5">
                  <c:v>27.08543212076437</c:v>
                </c:pt>
                <c:pt idx="6">
                  <c:v>26.369963132354226</c:v>
                </c:pt>
                <c:pt idx="7">
                  <c:v>25.737196999196748</c:v>
                </c:pt>
                <c:pt idx="8">
                  <c:v>25.17565653082962</c:v>
                </c:pt>
                <c:pt idx="9">
                  <c:v>24.676056105665534</c:v>
                </c:pt>
                <c:pt idx="10">
                  <c:v>24.230790092131951</c:v>
                </c:pt>
                <c:pt idx="11">
                  <c:v>23.833560214890976</c:v>
                </c:pt>
                <c:pt idx="12">
                  <c:v>23.479099345188903</c:v>
                </c:pt>
                <c:pt idx="13">
                  <c:v>23.162963537732839</c:v>
                </c:pt>
                <c:pt idx="14">
                  <c:v>22.881373231436712</c:v>
                </c:pt>
                <c:pt idx="15">
                  <c:v>22.631090435991862</c:v>
                </c:pt>
                <c:pt idx="16">
                  <c:v>22.409322641852999</c:v>
                </c:pt>
                <c:pt idx="17">
                  <c:v>22.213646838256185</c:v>
                </c:pt>
                <c:pt idx="18">
                  <c:v>22.041948844862485</c:v>
                </c:pt>
              </c:numCache>
            </c:numRef>
          </c:yVal>
          <c:smooth val="1"/>
        </c:ser>
        <c:ser>
          <c:idx val="6"/>
          <c:order val="6"/>
          <c:tx>
            <c:strRef>
              <c:f>'Standard WGs'!$U$6</c:f>
              <c:strCache>
                <c:ptCount val="1"/>
                <c:pt idx="0">
                  <c:v>WR2.8 Copper</c:v>
                </c:pt>
              </c:strCache>
            </c:strRef>
          </c:tx>
          <c:spPr>
            <a:ln w="38100"/>
          </c:spPr>
          <c:marker>
            <c:symbol val="none"/>
          </c:marker>
          <c:xVal>
            <c:numRef>
              <c:f>'Standard WGs'!$U$8:$U$26</c:f>
              <c:numCache>
                <c:formatCode>0.00E+00</c:formatCode>
                <c:ptCount val="19"/>
                <c:pt idx="0">
                  <c:v>263.90181158425588</c:v>
                </c:pt>
                <c:pt idx="1">
                  <c:v>270.1769972546179</c:v>
                </c:pt>
                <c:pt idx="2">
                  <c:v>276.60139734287696</c:v>
                </c:pt>
                <c:pt idx="3">
                  <c:v>283.1785599420582</c:v>
                </c:pt>
                <c:pt idx="4">
                  <c:v>289.9121175134689</c:v>
                </c:pt>
                <c:pt idx="5">
                  <c:v>296.80578889284857</c:v>
                </c:pt>
                <c:pt idx="6">
                  <c:v>303.86338134422232</c:v>
                </c:pt>
                <c:pt idx="7">
                  <c:v>311.08879266259152</c:v>
                </c:pt>
                <c:pt idx="8">
                  <c:v>318.48601332662349</c:v>
                </c:pt>
                <c:pt idx="9">
                  <c:v>326.05912870252871</c:v>
                </c:pt>
                <c:pt idx="10">
                  <c:v>333.81232130034306</c:v>
                </c:pt>
                <c:pt idx="11">
                  <c:v>341.7498730838609</c:v>
                </c:pt>
                <c:pt idx="12">
                  <c:v>349.8761678354951</c:v>
                </c:pt>
                <c:pt idx="13">
                  <c:v>358.19569357736941</c:v>
                </c:pt>
                <c:pt idx="14">
                  <c:v>366.7130450499813</c:v>
                </c:pt>
                <c:pt idx="15">
                  <c:v>375.43292624980313</c:v>
                </c:pt>
                <c:pt idx="16">
                  <c:v>384.36015302722404</c:v>
                </c:pt>
                <c:pt idx="17">
                  <c:v>393.49965574626674</c:v>
                </c:pt>
                <c:pt idx="18">
                  <c:v>402.85648200754838</c:v>
                </c:pt>
              </c:numCache>
            </c:numRef>
          </c:xVal>
          <c:yVal>
            <c:numRef>
              <c:f>'Standard WGs'!$V$8:$V$26</c:f>
              <c:numCache>
                <c:formatCode>0.00E+00</c:formatCode>
                <c:ptCount val="19"/>
                <c:pt idx="0">
                  <c:v>23.437027377137191</c:v>
                </c:pt>
                <c:pt idx="1">
                  <c:v>22.393173742821077</c:v>
                </c:pt>
                <c:pt idx="2">
                  <c:v>21.502819431227728</c:v>
                </c:pt>
                <c:pt idx="3">
                  <c:v>20.735209156854282</c:v>
                </c:pt>
                <c:pt idx="4">
                  <c:v>20.067702728974218</c:v>
                </c:pt>
                <c:pt idx="5">
                  <c:v>19.483210786842843</c:v>
                </c:pt>
                <c:pt idx="6">
                  <c:v>18.968556523603038</c:v>
                </c:pt>
                <c:pt idx="7">
                  <c:v>18.513392437753676</c:v>
                </c:pt>
                <c:pt idx="8">
                  <c:v>18.109462706754403</c:v>
                </c:pt>
                <c:pt idx="9">
                  <c:v>17.750087956915877</c:v>
                </c:pt>
                <c:pt idx="10">
                  <c:v>17.429797272269887</c:v>
                </c:pt>
                <c:pt idx="11">
                  <c:v>17.144060150018678</c:v>
                </c:pt>
                <c:pt idx="12">
                  <c:v>16.889087816208331</c:v>
                </c:pt>
                <c:pt idx="13">
                  <c:v>16.661683632790723</c:v>
                </c:pt>
                <c:pt idx="14">
                  <c:v>16.459128869453831</c:v>
                </c:pt>
                <c:pt idx="15">
                  <c:v>16.279094360931659</c:v>
                </c:pt>
                <c:pt idx="16">
                  <c:v>16.119571387117698</c:v>
                </c:pt>
                <c:pt idx="17">
                  <c:v>15.978817017375194</c:v>
                </c:pt>
                <c:pt idx="18">
                  <c:v>15.855310470311359</c:v>
                </c:pt>
              </c:numCache>
            </c:numRef>
          </c:yVal>
          <c:smooth val="1"/>
        </c:ser>
        <c:ser>
          <c:idx val="7"/>
          <c:order val="7"/>
          <c:tx>
            <c:strRef>
              <c:f>'Standard WGs'!$W$6</c:f>
              <c:strCache>
                <c:ptCount val="1"/>
                <c:pt idx="0">
                  <c:v>WR3.4 Copper</c:v>
                </c:pt>
              </c:strCache>
            </c:strRef>
          </c:tx>
          <c:spPr>
            <a:ln w="38100"/>
          </c:spPr>
          <c:marker>
            <c:symbol val="none"/>
          </c:marker>
          <c:xVal>
            <c:numRef>
              <c:f>'Standard WGs'!$W$8:$W$26</c:f>
              <c:numCache>
                <c:formatCode>0.00E+00</c:formatCode>
                <c:ptCount val="19"/>
                <c:pt idx="0">
                  <c:v>216.86375720465463</c:v>
                </c:pt>
                <c:pt idx="1">
                  <c:v>222.02044913284567</c:v>
                </c:pt>
                <c:pt idx="2">
                  <c:v>227.29975939055856</c:v>
                </c:pt>
                <c:pt idx="3">
                  <c:v>232.70460365608943</c:v>
                </c:pt>
                <c:pt idx="4">
                  <c:v>238.23796693815146</c:v>
                </c:pt>
                <c:pt idx="5">
                  <c:v>243.90290522444727</c:v>
                </c:pt>
                <c:pt idx="6">
                  <c:v>249.70254716944191</c:v>
                </c:pt>
                <c:pt idx="7">
                  <c:v>255.64009582226848</c:v>
                </c:pt>
                <c:pt idx="8">
                  <c:v>261.71883039572066</c:v>
                </c:pt>
                <c:pt idx="9">
                  <c:v>267.9421080773094</c:v>
                </c:pt>
                <c:pt idx="10">
                  <c:v>274.31336588338365</c:v>
                </c:pt>
                <c:pt idx="11">
                  <c:v>280.83612255733931</c:v>
                </c:pt>
                <c:pt idx="12">
                  <c:v>287.51398051296462</c:v>
                </c:pt>
                <c:pt idx="13">
                  <c:v>294.35062782399558</c:v>
                </c:pt>
                <c:pt idx="14">
                  <c:v>301.34984026097987</c:v>
                </c:pt>
                <c:pt idx="15">
                  <c:v>308.5154833765742</c:v>
                </c:pt>
                <c:pt idx="16">
                  <c:v>315.85151464042701</c:v>
                </c:pt>
                <c:pt idx="17">
                  <c:v>323.36198562482554</c:v>
                </c:pt>
                <c:pt idx="18">
                  <c:v>331.05104424231394</c:v>
                </c:pt>
              </c:numCache>
            </c:numRef>
          </c:xVal>
          <c:yVal>
            <c:numRef>
              <c:f>'Standard WGs'!$X$8:$X$26</c:f>
              <c:numCache>
                <c:formatCode>0.00E+00</c:formatCode>
                <c:ptCount val="19"/>
                <c:pt idx="0">
                  <c:v>17.459002882995879</c:v>
                </c:pt>
                <c:pt idx="1">
                  <c:v>16.681402408426781</c:v>
                </c:pt>
                <c:pt idx="2">
                  <c:v>16.018148564717915</c:v>
                </c:pt>
                <c:pt idx="3">
                  <c:v>15.446330740825434</c:v>
                </c:pt>
                <c:pt idx="4">
                  <c:v>14.949083523367101</c:v>
                </c:pt>
                <c:pt idx="5">
                  <c:v>14.513676492494477</c:v>
                </c:pt>
                <c:pt idx="6">
                  <c:v>14.130293816822254</c:v>
                </c:pt>
                <c:pt idx="7">
                  <c:v>13.791227306415214</c:v>
                </c:pt>
                <c:pt idx="8">
                  <c:v>13.490326930929735</c:v>
                </c:pt>
                <c:pt idx="9">
                  <c:v>13.222617007971362</c:v>
                </c:pt>
                <c:pt idx="10">
                  <c:v>12.984022074550499</c:v>
                </c:pt>
                <c:pt idx="11">
                  <c:v>12.77116721199104</c:v>
                </c:pt>
                <c:pt idx="12">
                  <c:v>12.581230039522586</c:v>
                </c:pt>
                <c:pt idx="13">
                  <c:v>12.411829277642427</c:v>
                </c:pt>
                <c:pt idx="14">
                  <c:v>12.260939655841957</c:v>
                </c:pt>
                <c:pt idx="15">
                  <c:v>12.12682610326773</c:v>
                </c:pt>
                <c:pt idx="16">
                  <c:v>12.007992259073013</c:v>
                </c:pt>
                <c:pt idx="17">
                  <c:v>11.903139757619448</c:v>
                </c:pt>
                <c:pt idx="18">
                  <c:v>11.811135719455468</c:v>
                </c:pt>
              </c:numCache>
            </c:numRef>
          </c:yVal>
          <c:smooth val="1"/>
        </c:ser>
        <c:ser>
          <c:idx val="8"/>
          <c:order val="8"/>
          <c:tx>
            <c:strRef>
              <c:f>'Standard WGs'!$Y$6</c:f>
              <c:strCache>
                <c:ptCount val="1"/>
                <c:pt idx="0">
                  <c:v>WR4.3 Copper</c:v>
                </c:pt>
              </c:strCache>
            </c:strRef>
          </c:tx>
          <c:spPr>
            <a:ln w="38100"/>
          </c:spPr>
          <c:marker>
            <c:symbol val="none"/>
          </c:marker>
          <c:xVal>
            <c:numRef>
              <c:f>'Standard WGs'!$Y$8:$Y$26</c:f>
              <c:numCache>
                <c:formatCode>0.00E+00</c:formatCode>
                <c:ptCount val="19"/>
                <c:pt idx="0">
                  <c:v>171.58451119489158</c:v>
                </c:pt>
                <c:pt idx="1">
                  <c:v>175.66453118203174</c:v>
                </c:pt>
                <c:pt idx="2">
                  <c:v>179.84156786945294</c:v>
                </c:pt>
                <c:pt idx="3">
                  <c:v>184.1179281674554</c:v>
                </c:pt>
                <c:pt idx="4">
                  <c:v>188.49597384117482</c:v>
                </c:pt>
                <c:pt idx="5">
                  <c:v>192.97812281494734</c:v>
                </c:pt>
                <c:pt idx="6">
                  <c:v>197.56685050769036</c:v>
                </c:pt>
                <c:pt idx="7">
                  <c:v>202.26469120003665</c:v>
                </c:pt>
                <c:pt idx="8">
                  <c:v>207.07423943397683</c:v>
                </c:pt>
                <c:pt idx="9">
                  <c:v>211.99815144578332</c:v>
                </c:pt>
                <c:pt idx="10">
                  <c:v>217.03914663300691</c:v>
                </c:pt>
                <c:pt idx="11">
                  <c:v>222.20000905635644</c:v>
                </c:pt>
                <c:pt idx="12">
                  <c:v>227.48358897729074</c:v>
                </c:pt>
                <c:pt idx="13">
                  <c:v>232.8928044321724</c:v>
                </c:pt>
                <c:pt idx="14">
                  <c:v>238.43064284385227</c:v>
                </c:pt>
                <c:pt idx="15">
                  <c:v>244.10016267157525</c:v>
                </c:pt>
                <c:pt idx="16">
                  <c:v>249.90449510011814</c:v>
                </c:pt>
                <c:pt idx="17">
                  <c:v>255.84684576909279</c:v>
                </c:pt>
                <c:pt idx="18">
                  <c:v>261.93049654336932</c:v>
                </c:pt>
              </c:numCache>
            </c:numRef>
          </c:xVal>
          <c:yVal>
            <c:numRef>
              <c:f>'Standard WGs'!$Z$8:$Z$26</c:f>
              <c:numCache>
                <c:formatCode>0.00E+00</c:formatCode>
                <c:ptCount val="19"/>
                <c:pt idx="0">
                  <c:v>12.28728955879849</c:v>
                </c:pt>
                <c:pt idx="1">
                  <c:v>11.740030230409506</c:v>
                </c:pt>
                <c:pt idx="2">
                  <c:v>11.273245724830774</c:v>
                </c:pt>
                <c:pt idx="3">
                  <c:v>10.870812022050874</c:v>
                </c:pt>
                <c:pt idx="4">
                  <c:v>10.520859588675192</c:v>
                </c:pt>
                <c:pt idx="5">
                  <c:v>10.214429015284361</c:v>
                </c:pt>
                <c:pt idx="6">
                  <c:v>9.944612120277176</c:v>
                </c:pt>
                <c:pt idx="7">
                  <c:v>9.7059840370479531</c:v>
                </c:pt>
                <c:pt idx="8">
                  <c:v>9.4942164998799452</c:v>
                </c:pt>
                <c:pt idx="9">
                  <c:v>9.3058077251522118</c:v>
                </c:pt>
                <c:pt idx="10">
                  <c:v>9.1378894852703834</c:v>
                </c:pt>
                <c:pt idx="11">
                  <c:v>8.9880865814164892</c:v>
                </c:pt>
                <c:pt idx="12">
                  <c:v>8.8544126796627847</c:v>
                </c:pt>
                <c:pt idx="13">
                  <c:v>8.7351918841424432</c:v>
                </c:pt>
                <c:pt idx="14">
                  <c:v>8.6289988508458162</c:v>
                </c:pt>
                <c:pt idx="15">
                  <c:v>8.5346124723520234</c:v>
                </c:pt>
                <c:pt idx="16">
                  <c:v>8.4509796404663184</c:v>
                </c:pt>
                <c:pt idx="17">
                  <c:v>8.3771865919767556</c:v>
                </c:pt>
                <c:pt idx="18">
                  <c:v>8.3124360294689392</c:v>
                </c:pt>
              </c:numCache>
            </c:numRef>
          </c:yVal>
          <c:smooth val="1"/>
        </c:ser>
        <c:ser>
          <c:idx val="9"/>
          <c:order val="9"/>
          <c:tx>
            <c:strRef>
              <c:f>'Standard WGs'!$AA$6</c:f>
              <c:strCache>
                <c:ptCount val="1"/>
                <c:pt idx="0">
                  <c:v>WR5.1 Copper</c:v>
                </c:pt>
              </c:strCache>
            </c:strRef>
          </c:tx>
          <c:spPr>
            <a:ln w="38100"/>
          </c:spPr>
          <c:marker>
            <c:symbol val="none"/>
          </c:marker>
          <c:xVal>
            <c:numRef>
              <c:f>'Standard WGs'!$AA$8:$AA$26</c:f>
              <c:numCache>
                <c:formatCode>0.00E+00</c:formatCode>
                <c:ptCount val="19"/>
                <c:pt idx="0">
                  <c:v>144.68747971028694</c:v>
                </c:pt>
                <c:pt idx="1">
                  <c:v>148.12792899674025</c:v>
                </c:pt>
                <c:pt idx="2">
                  <c:v>151.65018696018731</c:v>
                </c:pt>
                <c:pt idx="3">
                  <c:v>155.25619888715153</c:v>
                </c:pt>
                <c:pt idx="4">
                  <c:v>158.94795632012571</c:v>
                </c:pt>
                <c:pt idx="5">
                  <c:v>162.72749815746903</c:v>
                </c:pt>
                <c:pt idx="6">
                  <c:v>166.59691177945774</c:v>
                </c:pt>
                <c:pt idx="7">
                  <c:v>170.5583342011119</c:v>
                </c:pt>
                <c:pt idx="8">
                  <c:v>174.61395325243444</c:v>
                </c:pt>
                <c:pt idx="9">
                  <c:v>178.76600878671451</c:v>
                </c:pt>
                <c:pt idx="10">
                  <c:v>183.01679391756252</c:v>
                </c:pt>
                <c:pt idx="11">
                  <c:v>187.36865628535995</c:v>
                </c:pt>
                <c:pt idx="12">
                  <c:v>191.82399935382347</c:v>
                </c:pt>
                <c:pt idx="13">
                  <c:v>196.38528373739936</c:v>
                </c:pt>
                <c:pt idx="14">
                  <c:v>201.0550285602213</c:v>
                </c:pt>
                <c:pt idx="15">
                  <c:v>205.8358128473823</c:v>
                </c:pt>
                <c:pt idx="16">
                  <c:v>210.73027694928874</c:v>
                </c:pt>
                <c:pt idx="17">
                  <c:v>215.74112399988357</c:v>
                </c:pt>
                <c:pt idx="18">
                  <c:v>220.87112140954378</c:v>
                </c:pt>
              </c:numCache>
            </c:numRef>
          </c:xVal>
          <c:yVal>
            <c:numRef>
              <c:f>'Standard WGs'!$AB$8:$AB$26</c:f>
              <c:numCache>
                <c:formatCode>0.00E+00</c:formatCode>
                <c:ptCount val="19"/>
                <c:pt idx="0">
                  <c:v>9.5144874539775621</c:v>
                </c:pt>
                <c:pt idx="1">
                  <c:v>9.0907249969187838</c:v>
                </c:pt>
                <c:pt idx="2">
                  <c:v>8.7292770713378474</c:v>
                </c:pt>
                <c:pt idx="3">
                  <c:v>8.4176582722663067</c:v>
                </c:pt>
                <c:pt idx="4">
                  <c:v>8.1466775957787423</c:v>
                </c:pt>
                <c:pt idx="5">
                  <c:v>7.9093974509518015</c:v>
                </c:pt>
                <c:pt idx="6">
                  <c:v>7.7004685858727813</c:v>
                </c:pt>
                <c:pt idx="7">
                  <c:v>7.5156903324437847</c:v>
                </c:pt>
                <c:pt idx="8">
                  <c:v>7.3517111598278033</c:v>
                </c:pt>
                <c:pt idx="9">
                  <c:v>7.2058195118131563</c:v>
                </c:pt>
                <c:pt idx="10">
                  <c:v>7.0757944172628582</c:v>
                </c:pt>
                <c:pt idx="11">
                  <c:v>6.9597966748423836</c:v>
                </c:pt>
                <c:pt idx="12">
                  <c:v>6.856288195199765</c:v>
                </c:pt>
                <c:pt idx="13">
                  <c:v>6.7639712722686811</c:v>
                </c:pt>
                <c:pt idx="14">
                  <c:v>6.6817422112405636</c:v>
                </c:pt>
                <c:pt idx="15">
                  <c:v>6.6086554649969607</c:v>
                </c:pt>
                <c:pt idx="16">
                  <c:v>6.5438955742245195</c:v>
                </c:pt>
                <c:pt idx="17">
                  <c:v>6.486754979410267</c:v>
                </c:pt>
                <c:pt idx="18">
                  <c:v>6.4366163046707703</c:v>
                </c:pt>
              </c:numCache>
            </c:numRef>
          </c:yVal>
          <c:smooth val="1"/>
        </c:ser>
        <c:dLbls>
          <c:showLegendKey val="0"/>
          <c:showVal val="0"/>
          <c:showCatName val="0"/>
          <c:showSerName val="0"/>
          <c:showPercent val="0"/>
          <c:showBubbleSize val="0"/>
        </c:dLbls>
        <c:axId val="433710560"/>
        <c:axId val="433712128"/>
      </c:scatterChart>
      <c:valAx>
        <c:axId val="433710560"/>
        <c:scaling>
          <c:orientation val="minMax"/>
        </c:scaling>
        <c:delete val="0"/>
        <c:axPos val="b"/>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a:t>Frequency (GHz)</a:t>
                </a:r>
              </a:p>
            </c:rich>
          </c:tx>
          <c:layout>
            <c:manualLayout>
              <c:xMode val="edge"/>
              <c:yMode val="edge"/>
              <c:x val="0.41759465478841873"/>
              <c:y val="0.9200652528548124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433712128"/>
        <c:crosses val="autoZero"/>
        <c:crossBetween val="midCat"/>
      </c:valAx>
      <c:valAx>
        <c:axId val="433712128"/>
        <c:scaling>
          <c:orientation val="minMax"/>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a:t>Attenuation (dB/cm or dB/m)</a:t>
                </a:r>
              </a:p>
            </c:rich>
          </c:tx>
          <c:layout>
            <c:manualLayout>
              <c:xMode val="edge"/>
              <c:yMode val="edge"/>
              <c:x val="1.9237033269208732E-2"/>
              <c:y val="0.2698928436893849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433710560"/>
        <c:crosses val="autoZero"/>
        <c:crossBetween val="midCat"/>
      </c:valAx>
      <c:spPr>
        <a:noFill/>
        <a:ln w="12700">
          <a:solidFill>
            <a:srgbClr val="808080"/>
          </a:solidFill>
          <a:prstDash val="solid"/>
        </a:ln>
      </c:spPr>
    </c:plotArea>
    <c:legend>
      <c:legendPos val="r"/>
      <c:layout>
        <c:manualLayout>
          <c:xMode val="edge"/>
          <c:yMode val="edge"/>
          <c:x val="0.16785310559389011"/>
          <c:y val="0.16341706446348264"/>
          <c:w val="0.26487053694391688"/>
          <c:h val="0.35353677099840958"/>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6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en-US"/>
              <a:t>Dielectric-loaded waveguide loss </a:t>
            </a:r>
          </a:p>
        </c:rich>
      </c:tx>
      <c:layout>
        <c:manualLayout>
          <c:xMode val="edge"/>
          <c:yMode val="edge"/>
          <c:x val="0.32628062360801779"/>
          <c:y val="1.9575856443719411E-2"/>
        </c:manualLayout>
      </c:layout>
      <c:overlay val="0"/>
      <c:spPr>
        <a:noFill/>
        <a:ln w="25400">
          <a:noFill/>
        </a:ln>
      </c:spPr>
    </c:title>
    <c:autoTitleDeleted val="0"/>
    <c:plotArea>
      <c:layout>
        <c:manualLayout>
          <c:layoutTarget val="inner"/>
          <c:xMode val="edge"/>
          <c:yMode val="edge"/>
          <c:x val="0.11024498886414254"/>
          <c:y val="0.14681892332789559"/>
          <c:w val="0.78396436525612467"/>
          <c:h val="0.69004893964110925"/>
        </c:manualLayout>
      </c:layout>
      <c:scatterChart>
        <c:scatterStyle val="lineMarker"/>
        <c:varyColors val="0"/>
        <c:ser>
          <c:idx val="0"/>
          <c:order val="0"/>
          <c:tx>
            <c:v>Metal loss</c:v>
          </c:tx>
          <c:spPr>
            <a:ln w="38100">
              <a:solidFill>
                <a:srgbClr val="000080"/>
              </a:solidFill>
              <a:prstDash val="solid"/>
            </a:ln>
          </c:spPr>
          <c:marker>
            <c:symbol val="none"/>
          </c:marker>
          <c:xVal>
            <c:numRef>
              <c:f>'Custom WG'!$B$38:$B$56</c:f>
              <c:numCache>
                <c:formatCode>General</c:formatCode>
                <c:ptCount val="19"/>
                <c:pt idx="0" formatCode="0.0000">
                  <c:v>6.5636975156971635</c:v>
                </c:pt>
                <c:pt idx="1">
                  <c:v>6.6293344908541352</c:v>
                </c:pt>
                <c:pt idx="2">
                  <c:v>6.6956278357626768</c:v>
                </c:pt>
                <c:pt idx="3">
                  <c:v>6.7625841141203038</c:v>
                </c:pt>
                <c:pt idx="4">
                  <c:v>6.8302099552615072</c:v>
                </c:pt>
                <c:pt idx="5">
                  <c:v>6.8985120548141223</c:v>
                </c:pt>
                <c:pt idx="6">
                  <c:v>6.9674971753622632</c:v>
                </c:pt>
                <c:pt idx="7">
                  <c:v>7.0371721471158857</c:v>
                </c:pt>
                <c:pt idx="8">
                  <c:v>7.1075438685870447</c:v>
                </c:pt>
                <c:pt idx="9">
                  <c:v>7.178619307272915</c:v>
                </c:pt>
                <c:pt idx="10">
                  <c:v>7.2504055003456438</c:v>
                </c:pt>
                <c:pt idx="11">
                  <c:v>7.3229095553491002</c:v>
                </c:pt>
                <c:pt idx="12">
                  <c:v>7.6890550331165555</c:v>
                </c:pt>
                <c:pt idx="13">
                  <c:v>8.0735077847723833</c:v>
                </c:pt>
                <c:pt idx="14">
                  <c:v>8.4771831740110031</c:v>
                </c:pt>
                <c:pt idx="15">
                  <c:v>8.9010423327115529</c:v>
                </c:pt>
                <c:pt idx="16">
                  <c:v>9.346094449347131</c:v>
                </c:pt>
                <c:pt idx="17">
                  <c:v>9.8133991718144884</c:v>
                </c:pt>
                <c:pt idx="18">
                  <c:v>10.304069130405214</c:v>
                </c:pt>
              </c:numCache>
            </c:numRef>
          </c:xVal>
          <c:yVal>
            <c:numRef>
              <c:f>'Custom WG'!$H$38:$H$56</c:f>
              <c:numCache>
                <c:formatCode>0.00E+00</c:formatCode>
                <c:ptCount val="19"/>
                <c:pt idx="0">
                  <c:v>52.466699543690588</c:v>
                </c:pt>
                <c:pt idx="1">
                  <c:v>15.852326926502768</c:v>
                </c:pt>
                <c:pt idx="2">
                  <c:v>11.475701619676409</c:v>
                </c:pt>
                <c:pt idx="3">
                  <c:v>9.4474842479140282</c:v>
                </c:pt>
                <c:pt idx="4">
                  <c:v>8.2175378382453914</c:v>
                </c:pt>
                <c:pt idx="5">
                  <c:v>7.3708559811417969</c:v>
                </c:pt>
                <c:pt idx="6">
                  <c:v>6.7428215412368626</c:v>
                </c:pt>
                <c:pt idx="7">
                  <c:v>6.2533937414213225</c:v>
                </c:pt>
                <c:pt idx="8">
                  <c:v>5.8583575590127586</c:v>
                </c:pt>
                <c:pt idx="9">
                  <c:v>5.5310338200752751</c:v>
                </c:pt>
                <c:pt idx="10">
                  <c:v>5.254243313771771</c:v>
                </c:pt>
                <c:pt idx="11">
                  <c:v>5.0163572555661071</c:v>
                </c:pt>
                <c:pt idx="12">
                  <c:v>4.2005955246920905</c:v>
                </c:pt>
                <c:pt idx="13">
                  <c:v>3.7023295494753143</c:v>
                </c:pt>
                <c:pt idx="14">
                  <c:v>3.3631295912109822</c:v>
                </c:pt>
                <c:pt idx="15">
                  <c:v>3.1173976843556925</c:v>
                </c:pt>
                <c:pt idx="16">
                  <c:v>2.9323822223635307</c:v>
                </c:pt>
                <c:pt idx="17">
                  <c:v>2.7896503805779345</c:v>
                </c:pt>
                <c:pt idx="18">
                  <c:v>2.6779201522481433</c:v>
                </c:pt>
              </c:numCache>
            </c:numRef>
          </c:yVal>
          <c:smooth val="0"/>
        </c:ser>
        <c:ser>
          <c:idx val="1"/>
          <c:order val="1"/>
          <c:tx>
            <c:v>Dielectric loss</c:v>
          </c:tx>
          <c:spPr>
            <a:ln w="38100">
              <a:solidFill>
                <a:srgbClr val="FF00FF"/>
              </a:solidFill>
              <a:prstDash val="solid"/>
            </a:ln>
          </c:spPr>
          <c:marker>
            <c:symbol val="none"/>
          </c:marker>
          <c:xVal>
            <c:numRef>
              <c:f>'Custom WG'!$B$38:$B$56</c:f>
              <c:numCache>
                <c:formatCode>General</c:formatCode>
                <c:ptCount val="19"/>
                <c:pt idx="0" formatCode="0.0000">
                  <c:v>6.5636975156971635</c:v>
                </c:pt>
                <c:pt idx="1">
                  <c:v>6.6293344908541352</c:v>
                </c:pt>
                <c:pt idx="2">
                  <c:v>6.6956278357626768</c:v>
                </c:pt>
                <c:pt idx="3">
                  <c:v>6.7625841141203038</c:v>
                </c:pt>
                <c:pt idx="4">
                  <c:v>6.8302099552615072</c:v>
                </c:pt>
                <c:pt idx="5">
                  <c:v>6.8985120548141223</c:v>
                </c:pt>
                <c:pt idx="6">
                  <c:v>6.9674971753622632</c:v>
                </c:pt>
                <c:pt idx="7">
                  <c:v>7.0371721471158857</c:v>
                </c:pt>
                <c:pt idx="8">
                  <c:v>7.1075438685870447</c:v>
                </c:pt>
                <c:pt idx="9">
                  <c:v>7.178619307272915</c:v>
                </c:pt>
                <c:pt idx="10">
                  <c:v>7.2504055003456438</c:v>
                </c:pt>
                <c:pt idx="11">
                  <c:v>7.3229095553491002</c:v>
                </c:pt>
                <c:pt idx="12">
                  <c:v>7.6890550331165555</c:v>
                </c:pt>
                <c:pt idx="13">
                  <c:v>8.0735077847723833</c:v>
                </c:pt>
                <c:pt idx="14">
                  <c:v>8.4771831740110031</c:v>
                </c:pt>
                <c:pt idx="15">
                  <c:v>8.9010423327115529</c:v>
                </c:pt>
                <c:pt idx="16">
                  <c:v>9.346094449347131</c:v>
                </c:pt>
                <c:pt idx="17">
                  <c:v>9.8133991718144884</c:v>
                </c:pt>
                <c:pt idx="18">
                  <c:v>10.304069130405214</c:v>
                </c:pt>
              </c:numCache>
            </c:numRef>
          </c:xVal>
          <c:yVal>
            <c:numRef>
              <c:f>'Custom WG'!$J$38:$J$56</c:f>
              <c:numCache>
                <c:formatCode>0.00E+00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2"/>
          <c:order val="2"/>
          <c:tx>
            <c:v>Total loss</c:v>
          </c:tx>
          <c:spPr>
            <a:ln w="38100">
              <a:solidFill>
                <a:srgbClr val="FF0000"/>
              </a:solidFill>
              <a:prstDash val="solid"/>
            </a:ln>
          </c:spPr>
          <c:marker>
            <c:symbol val="none"/>
          </c:marker>
          <c:xVal>
            <c:numRef>
              <c:f>'Custom WG'!$B$38:$B$56</c:f>
              <c:numCache>
                <c:formatCode>General</c:formatCode>
                <c:ptCount val="19"/>
                <c:pt idx="0" formatCode="0.0000">
                  <c:v>6.5636975156971635</c:v>
                </c:pt>
                <c:pt idx="1">
                  <c:v>6.6293344908541352</c:v>
                </c:pt>
                <c:pt idx="2">
                  <c:v>6.6956278357626768</c:v>
                </c:pt>
                <c:pt idx="3">
                  <c:v>6.7625841141203038</c:v>
                </c:pt>
                <c:pt idx="4">
                  <c:v>6.8302099552615072</c:v>
                </c:pt>
                <c:pt idx="5">
                  <c:v>6.8985120548141223</c:v>
                </c:pt>
                <c:pt idx="6">
                  <c:v>6.9674971753622632</c:v>
                </c:pt>
                <c:pt idx="7">
                  <c:v>7.0371721471158857</c:v>
                </c:pt>
                <c:pt idx="8">
                  <c:v>7.1075438685870447</c:v>
                </c:pt>
                <c:pt idx="9">
                  <c:v>7.178619307272915</c:v>
                </c:pt>
                <c:pt idx="10">
                  <c:v>7.2504055003456438</c:v>
                </c:pt>
                <c:pt idx="11">
                  <c:v>7.3229095553491002</c:v>
                </c:pt>
                <c:pt idx="12">
                  <c:v>7.6890550331165555</c:v>
                </c:pt>
                <c:pt idx="13">
                  <c:v>8.0735077847723833</c:v>
                </c:pt>
                <c:pt idx="14">
                  <c:v>8.4771831740110031</c:v>
                </c:pt>
                <c:pt idx="15">
                  <c:v>8.9010423327115529</c:v>
                </c:pt>
                <c:pt idx="16">
                  <c:v>9.346094449347131</c:v>
                </c:pt>
                <c:pt idx="17">
                  <c:v>9.8133991718144884</c:v>
                </c:pt>
                <c:pt idx="18">
                  <c:v>10.304069130405214</c:v>
                </c:pt>
              </c:numCache>
            </c:numRef>
          </c:xVal>
          <c:yVal>
            <c:numRef>
              <c:f>'Custom WG'!$K$38:$K$56</c:f>
              <c:numCache>
                <c:formatCode>0.00E+00</c:formatCode>
                <c:ptCount val="19"/>
                <c:pt idx="0">
                  <c:v>52.466699543690588</c:v>
                </c:pt>
                <c:pt idx="1">
                  <c:v>15.852326926502768</c:v>
                </c:pt>
                <c:pt idx="2">
                  <c:v>11.475701619676409</c:v>
                </c:pt>
                <c:pt idx="3">
                  <c:v>9.4474842479140282</c:v>
                </c:pt>
                <c:pt idx="4">
                  <c:v>8.2175378382453914</c:v>
                </c:pt>
                <c:pt idx="5">
                  <c:v>7.3708559811417969</c:v>
                </c:pt>
                <c:pt idx="6">
                  <c:v>6.7428215412368626</c:v>
                </c:pt>
                <c:pt idx="7">
                  <c:v>6.2533937414213225</c:v>
                </c:pt>
                <c:pt idx="8">
                  <c:v>5.8583575590127586</c:v>
                </c:pt>
                <c:pt idx="9">
                  <c:v>5.5310338200752751</c:v>
                </c:pt>
                <c:pt idx="10">
                  <c:v>5.254243313771771</c:v>
                </c:pt>
                <c:pt idx="11">
                  <c:v>5.0163572555661071</c:v>
                </c:pt>
                <c:pt idx="12">
                  <c:v>4.2005955246920905</c:v>
                </c:pt>
                <c:pt idx="13">
                  <c:v>3.7023295494753143</c:v>
                </c:pt>
                <c:pt idx="14">
                  <c:v>3.3631295912109822</c:v>
                </c:pt>
                <c:pt idx="15">
                  <c:v>3.1173976843556925</c:v>
                </c:pt>
                <c:pt idx="16">
                  <c:v>2.9323822223635307</c:v>
                </c:pt>
                <c:pt idx="17">
                  <c:v>2.7896503805779345</c:v>
                </c:pt>
                <c:pt idx="18">
                  <c:v>2.6779201522481433</c:v>
                </c:pt>
              </c:numCache>
            </c:numRef>
          </c:yVal>
          <c:smooth val="0"/>
        </c:ser>
        <c:dLbls>
          <c:showLegendKey val="0"/>
          <c:showVal val="0"/>
          <c:showCatName val="0"/>
          <c:showSerName val="0"/>
          <c:showPercent val="0"/>
          <c:showBubbleSize val="0"/>
        </c:dLbls>
        <c:axId val="502386288"/>
        <c:axId val="502384328"/>
      </c:scatterChart>
      <c:valAx>
        <c:axId val="502386288"/>
        <c:scaling>
          <c:orientation val="minMax"/>
        </c:scaling>
        <c:delete val="0"/>
        <c:axPos val="b"/>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a:t>Frequency (GHz)</a:t>
                </a:r>
              </a:p>
            </c:rich>
          </c:tx>
          <c:layout>
            <c:manualLayout>
              <c:xMode val="edge"/>
              <c:yMode val="edge"/>
              <c:x val="0.41091314031180398"/>
              <c:y val="0.9200652528548124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502384328"/>
        <c:crosses val="autoZero"/>
        <c:crossBetween val="midCat"/>
      </c:valAx>
      <c:valAx>
        <c:axId val="502384328"/>
        <c:scaling>
          <c:orientation val="minMax"/>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a:t>Loss (dB/m)</a:t>
                </a:r>
              </a:p>
            </c:rich>
          </c:tx>
          <c:layout>
            <c:manualLayout>
              <c:xMode val="edge"/>
              <c:yMode val="edge"/>
              <c:x val="1.3363028953229399E-2"/>
              <c:y val="0.39477977161500816"/>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502386288"/>
        <c:crosses val="autoZero"/>
        <c:crossBetween val="midCat"/>
      </c:valAx>
      <c:spPr>
        <a:noFill/>
        <a:ln w="12700">
          <a:solidFill>
            <a:srgbClr val="808080"/>
          </a:solidFill>
          <a:prstDash val="solid"/>
        </a:ln>
      </c:spPr>
    </c:plotArea>
    <c:legend>
      <c:legendPos val="r"/>
      <c:layout>
        <c:manualLayout>
          <c:xMode val="edge"/>
          <c:yMode val="edge"/>
          <c:x val="0.15590200445434299"/>
          <c:y val="0.63132137030995106"/>
          <c:w val="0.19376391982182628"/>
          <c:h val="0.14845024469820556"/>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6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Arial"/>
                <a:ea typeface="Arial"/>
                <a:cs typeface="Arial"/>
              </a:defRPr>
            </a:pPr>
            <a:r>
              <a:rPr lang="en-US"/>
              <a:t>Propagation phase constant, wavenumber and guide wavelength</a:t>
            </a:r>
          </a:p>
        </c:rich>
      </c:tx>
      <c:layout>
        <c:manualLayout>
          <c:xMode val="edge"/>
          <c:yMode val="edge"/>
          <c:x val="0.16926503340757237"/>
          <c:y val="1.9575856443719411E-2"/>
        </c:manualLayout>
      </c:layout>
      <c:overlay val="0"/>
      <c:spPr>
        <a:noFill/>
        <a:ln w="25400">
          <a:noFill/>
        </a:ln>
      </c:spPr>
    </c:title>
    <c:autoTitleDeleted val="0"/>
    <c:plotArea>
      <c:layout>
        <c:manualLayout>
          <c:layoutTarget val="inner"/>
          <c:xMode val="edge"/>
          <c:yMode val="edge"/>
          <c:x val="0.12583518930957685"/>
          <c:y val="0.14681892332789559"/>
          <c:w val="0.72828507795100228"/>
          <c:h val="0.69004893964110925"/>
        </c:manualLayout>
      </c:layout>
      <c:scatterChart>
        <c:scatterStyle val="lineMarker"/>
        <c:varyColors val="0"/>
        <c:ser>
          <c:idx val="0"/>
          <c:order val="0"/>
          <c:tx>
            <c:v>Phase constant (beta)</c:v>
          </c:tx>
          <c:spPr>
            <a:ln w="38100">
              <a:solidFill>
                <a:srgbClr val="000080"/>
              </a:solidFill>
              <a:prstDash val="solid"/>
            </a:ln>
          </c:spPr>
          <c:marker>
            <c:symbol val="none"/>
          </c:marker>
          <c:xVal>
            <c:numRef>
              <c:f>'Custom WG'!$B$38:$B$56</c:f>
              <c:numCache>
                <c:formatCode>General</c:formatCode>
                <c:ptCount val="19"/>
                <c:pt idx="0" formatCode="0.0000">
                  <c:v>6.5636975156971635</c:v>
                </c:pt>
                <c:pt idx="1">
                  <c:v>6.6293344908541352</c:v>
                </c:pt>
                <c:pt idx="2">
                  <c:v>6.6956278357626768</c:v>
                </c:pt>
                <c:pt idx="3">
                  <c:v>6.7625841141203038</c:v>
                </c:pt>
                <c:pt idx="4">
                  <c:v>6.8302099552615072</c:v>
                </c:pt>
                <c:pt idx="5">
                  <c:v>6.8985120548141223</c:v>
                </c:pt>
                <c:pt idx="6">
                  <c:v>6.9674971753622632</c:v>
                </c:pt>
                <c:pt idx="7">
                  <c:v>7.0371721471158857</c:v>
                </c:pt>
                <c:pt idx="8">
                  <c:v>7.1075438685870447</c:v>
                </c:pt>
                <c:pt idx="9">
                  <c:v>7.178619307272915</c:v>
                </c:pt>
                <c:pt idx="10">
                  <c:v>7.2504055003456438</c:v>
                </c:pt>
                <c:pt idx="11">
                  <c:v>7.3229095553491002</c:v>
                </c:pt>
                <c:pt idx="12">
                  <c:v>7.6890550331165555</c:v>
                </c:pt>
                <c:pt idx="13">
                  <c:v>8.0735077847723833</c:v>
                </c:pt>
                <c:pt idx="14">
                  <c:v>8.4771831740110031</c:v>
                </c:pt>
                <c:pt idx="15">
                  <c:v>8.9010423327115529</c:v>
                </c:pt>
                <c:pt idx="16">
                  <c:v>9.346094449347131</c:v>
                </c:pt>
                <c:pt idx="17">
                  <c:v>9.8133991718144884</c:v>
                </c:pt>
                <c:pt idx="18">
                  <c:v>10.304069130405214</c:v>
                </c:pt>
              </c:numCache>
            </c:numRef>
          </c:xVal>
          <c:yVal>
            <c:numRef>
              <c:f>'Custom WG'!$F$38:$F$56</c:f>
              <c:numCache>
                <c:formatCode>General</c:formatCode>
                <c:ptCount val="19"/>
                <c:pt idx="0">
                  <c:v>6.1474809407291353</c:v>
                </c:pt>
                <c:pt idx="1">
                  <c:v>20.449110476383073</c:v>
                </c:pt>
                <c:pt idx="2">
                  <c:v>28.393419062186307</c:v>
                </c:pt>
                <c:pt idx="3">
                  <c:v>34.669952081803018</c:v>
                </c:pt>
                <c:pt idx="4">
                  <c:v>40.072195812402398</c:v>
                </c:pt>
                <c:pt idx="5">
                  <c:v>44.918504657078323</c:v>
                </c:pt>
                <c:pt idx="6">
                  <c:v>49.374510193163012</c:v>
                </c:pt>
                <c:pt idx="7">
                  <c:v>53.539311481797178</c:v>
                </c:pt>
                <c:pt idx="8">
                  <c:v>57.477723206294165</c:v>
                </c:pt>
                <c:pt idx="9">
                  <c:v>61.234857678561035</c:v>
                </c:pt>
                <c:pt idx="10">
                  <c:v>64.843595746685338</c:v>
                </c:pt>
                <c:pt idx="11">
                  <c:v>68.328772888921819</c:v>
                </c:pt>
                <c:pt idx="12">
                  <c:v>84.161885390046919</c:v>
                </c:pt>
                <c:pt idx="13">
                  <c:v>98.717277512443758</c:v>
                </c:pt>
                <c:pt idx="14">
                  <c:v>112.60471257480337</c:v>
                </c:pt>
                <c:pt idx="15">
                  <c:v>126.15605633949684</c:v>
                </c:pt>
                <c:pt idx="16">
                  <c:v>139.57980354286667</c:v>
                </c:pt>
                <c:pt idx="17">
                  <c:v>153.02067700511628</c:v>
                </c:pt>
                <c:pt idx="18">
                  <c:v>166.58705304924507</c:v>
                </c:pt>
              </c:numCache>
            </c:numRef>
          </c:yVal>
          <c:smooth val="0"/>
        </c:ser>
        <c:ser>
          <c:idx val="1"/>
          <c:order val="1"/>
          <c:tx>
            <c:v>Wave number (k)</c:v>
          </c:tx>
          <c:spPr>
            <a:ln w="38100">
              <a:solidFill>
                <a:srgbClr val="FF00FF"/>
              </a:solidFill>
              <a:prstDash val="solid"/>
            </a:ln>
          </c:spPr>
          <c:marker>
            <c:symbol val="none"/>
          </c:marker>
          <c:xVal>
            <c:numRef>
              <c:f>'Custom WG'!$B$38:$B$56</c:f>
              <c:numCache>
                <c:formatCode>General</c:formatCode>
                <c:ptCount val="19"/>
                <c:pt idx="0" formatCode="0.0000">
                  <c:v>6.5636975156971635</c:v>
                </c:pt>
                <c:pt idx="1">
                  <c:v>6.6293344908541352</c:v>
                </c:pt>
                <c:pt idx="2">
                  <c:v>6.6956278357626768</c:v>
                </c:pt>
                <c:pt idx="3">
                  <c:v>6.7625841141203038</c:v>
                </c:pt>
                <c:pt idx="4">
                  <c:v>6.8302099552615072</c:v>
                </c:pt>
                <c:pt idx="5">
                  <c:v>6.8985120548141223</c:v>
                </c:pt>
                <c:pt idx="6">
                  <c:v>6.9674971753622632</c:v>
                </c:pt>
                <c:pt idx="7">
                  <c:v>7.0371721471158857</c:v>
                </c:pt>
                <c:pt idx="8">
                  <c:v>7.1075438685870447</c:v>
                </c:pt>
                <c:pt idx="9">
                  <c:v>7.178619307272915</c:v>
                </c:pt>
                <c:pt idx="10">
                  <c:v>7.2504055003456438</c:v>
                </c:pt>
                <c:pt idx="11">
                  <c:v>7.3229095553491002</c:v>
                </c:pt>
                <c:pt idx="12">
                  <c:v>7.6890550331165555</c:v>
                </c:pt>
                <c:pt idx="13">
                  <c:v>8.0735077847723833</c:v>
                </c:pt>
                <c:pt idx="14">
                  <c:v>8.4771831740110031</c:v>
                </c:pt>
                <c:pt idx="15">
                  <c:v>8.9010423327115529</c:v>
                </c:pt>
                <c:pt idx="16">
                  <c:v>9.346094449347131</c:v>
                </c:pt>
                <c:pt idx="17">
                  <c:v>9.8133991718144884</c:v>
                </c:pt>
                <c:pt idx="18">
                  <c:v>10.304069130405214</c:v>
                </c:pt>
              </c:numCache>
            </c:numRef>
          </c:xVal>
          <c:yVal>
            <c:numRef>
              <c:f>'Custom WG'!$D$38:$D$56</c:f>
              <c:numCache>
                <c:formatCode>0.00E+00</c:formatCode>
                <c:ptCount val="19"/>
                <c:pt idx="0">
                  <c:v>137.56492765719088</c:v>
                </c:pt>
                <c:pt idx="1">
                  <c:v>138.94057693376277</c:v>
                </c:pt>
                <c:pt idx="2">
                  <c:v>140.3299827031004</c:v>
                </c:pt>
                <c:pt idx="3">
                  <c:v>141.73328253013139</c:v>
                </c:pt>
                <c:pt idx="4">
                  <c:v>143.15061535543273</c:v>
                </c:pt>
                <c:pt idx="5">
                  <c:v>144.58212150898706</c:v>
                </c:pt>
                <c:pt idx="6">
                  <c:v>146.02794272407692</c:v>
                </c:pt>
                <c:pt idx="7">
                  <c:v>147.48822215131767</c:v>
                </c:pt>
                <c:pt idx="8">
                  <c:v>148.96310437283086</c:v>
                </c:pt>
                <c:pt idx="9">
                  <c:v>150.45273541655916</c:v>
                </c:pt>
                <c:pt idx="10">
                  <c:v>151.95726277072472</c:v>
                </c:pt>
                <c:pt idx="11">
                  <c:v>153.476835398432</c:v>
                </c:pt>
                <c:pt idx="12">
                  <c:v>161.15067716835361</c:v>
                </c:pt>
                <c:pt idx="13">
                  <c:v>169.20821102677129</c:v>
                </c:pt>
                <c:pt idx="14">
                  <c:v>177.66862157810988</c:v>
                </c:pt>
                <c:pt idx="15">
                  <c:v>186.55205265701537</c:v>
                </c:pt>
                <c:pt idx="16">
                  <c:v>195.87965528986615</c:v>
                </c:pt>
                <c:pt idx="17">
                  <c:v>205.67363805435946</c:v>
                </c:pt>
                <c:pt idx="18">
                  <c:v>215.95731995707746</c:v>
                </c:pt>
              </c:numCache>
            </c:numRef>
          </c:yVal>
          <c:smooth val="0"/>
        </c:ser>
        <c:dLbls>
          <c:showLegendKey val="0"/>
          <c:showVal val="0"/>
          <c:showCatName val="0"/>
          <c:showSerName val="0"/>
          <c:showPercent val="0"/>
          <c:showBubbleSize val="0"/>
        </c:dLbls>
        <c:axId val="502384720"/>
        <c:axId val="502111504"/>
      </c:scatterChart>
      <c:scatterChart>
        <c:scatterStyle val="lineMarker"/>
        <c:varyColors val="0"/>
        <c:ser>
          <c:idx val="2"/>
          <c:order val="2"/>
          <c:tx>
            <c:v>Guide wavelength</c:v>
          </c:tx>
          <c:spPr>
            <a:ln w="38100">
              <a:solidFill>
                <a:srgbClr val="FF0000"/>
              </a:solidFill>
              <a:prstDash val="solid"/>
            </a:ln>
          </c:spPr>
          <c:marker>
            <c:symbol val="none"/>
          </c:marker>
          <c:xVal>
            <c:numRef>
              <c:f>'Custom WG'!$B$38:$B$56</c:f>
              <c:numCache>
                <c:formatCode>General</c:formatCode>
                <c:ptCount val="19"/>
                <c:pt idx="0" formatCode="0.0000">
                  <c:v>6.5636975156971635</c:v>
                </c:pt>
                <c:pt idx="1">
                  <c:v>6.6293344908541352</c:v>
                </c:pt>
                <c:pt idx="2">
                  <c:v>6.6956278357626768</c:v>
                </c:pt>
                <c:pt idx="3">
                  <c:v>6.7625841141203038</c:v>
                </c:pt>
                <c:pt idx="4">
                  <c:v>6.8302099552615072</c:v>
                </c:pt>
                <c:pt idx="5">
                  <c:v>6.8985120548141223</c:v>
                </c:pt>
                <c:pt idx="6">
                  <c:v>6.9674971753622632</c:v>
                </c:pt>
                <c:pt idx="7">
                  <c:v>7.0371721471158857</c:v>
                </c:pt>
                <c:pt idx="8">
                  <c:v>7.1075438685870447</c:v>
                </c:pt>
                <c:pt idx="9">
                  <c:v>7.178619307272915</c:v>
                </c:pt>
                <c:pt idx="10">
                  <c:v>7.2504055003456438</c:v>
                </c:pt>
                <c:pt idx="11">
                  <c:v>7.3229095553491002</c:v>
                </c:pt>
                <c:pt idx="12">
                  <c:v>7.6890550331165555</c:v>
                </c:pt>
                <c:pt idx="13">
                  <c:v>8.0735077847723833</c:v>
                </c:pt>
                <c:pt idx="14">
                  <c:v>8.4771831740110031</c:v>
                </c:pt>
                <c:pt idx="15">
                  <c:v>8.9010423327115529</c:v>
                </c:pt>
                <c:pt idx="16">
                  <c:v>9.346094449347131</c:v>
                </c:pt>
                <c:pt idx="17">
                  <c:v>9.8133991718144884</c:v>
                </c:pt>
                <c:pt idx="18">
                  <c:v>10.304069130405214</c:v>
                </c:pt>
              </c:numCache>
            </c:numRef>
          </c:xVal>
          <c:yVal>
            <c:numRef>
              <c:f>'Custom WG'!$P$38:$P$56</c:f>
              <c:numCache>
                <c:formatCode>0.00E+00</c:formatCode>
                <c:ptCount val="19"/>
                <c:pt idx="0">
                  <c:v>1.0220747925465477</c:v>
                </c:pt>
                <c:pt idx="1">
                  <c:v>0.3072595903101073</c:v>
                </c:pt>
                <c:pt idx="2">
                  <c:v>0.22129019733123251</c:v>
                </c:pt>
                <c:pt idx="3">
                  <c:v>0.18122855469642829</c:v>
                </c:pt>
                <c:pt idx="4">
                  <c:v>0.15679663117524825</c:v>
                </c:pt>
                <c:pt idx="5">
                  <c:v>0.13987966329572535</c:v>
                </c:pt>
                <c:pt idx="6">
                  <c:v>0.12725564836184708</c:v>
                </c:pt>
                <c:pt idx="7">
                  <c:v>0.11735648317621353</c:v>
                </c:pt>
                <c:pt idx="8">
                  <c:v>0.10931513909534153</c:v>
                </c:pt>
                <c:pt idx="9">
                  <c:v>0.10260798416747843</c:v>
                </c:pt>
                <c:pt idx="10">
                  <c:v>9.6897546084969671E-2</c:v>
                </c:pt>
                <c:pt idx="11">
                  <c:v>9.1955190200675802E-2</c:v>
                </c:pt>
                <c:pt idx="12">
                  <c:v>7.4655947618809435E-2</c:v>
                </c:pt>
                <c:pt idx="13">
                  <c:v>6.3648283922614887E-2</c:v>
                </c:pt>
                <c:pt idx="14">
                  <c:v>5.5798599929871164E-2</c:v>
                </c:pt>
                <c:pt idx="15">
                  <c:v>4.9804864621568322E-2</c:v>
                </c:pt>
                <c:pt idx="16">
                  <c:v>4.5015003228958857E-2</c:v>
                </c:pt>
                <c:pt idx="17">
                  <c:v>4.1061021491687076E-2</c:v>
                </c:pt>
                <c:pt idx="18">
                  <c:v>3.7717128625369245E-2</c:v>
                </c:pt>
              </c:numCache>
            </c:numRef>
          </c:yVal>
          <c:smooth val="0"/>
        </c:ser>
        <c:dLbls>
          <c:showLegendKey val="0"/>
          <c:showVal val="0"/>
          <c:showCatName val="0"/>
          <c:showSerName val="0"/>
          <c:showPercent val="0"/>
          <c:showBubbleSize val="0"/>
        </c:dLbls>
        <c:axId val="502112680"/>
        <c:axId val="502110720"/>
      </c:scatterChart>
      <c:valAx>
        <c:axId val="502384720"/>
        <c:scaling>
          <c:orientation val="minMax"/>
        </c:scaling>
        <c:delete val="0"/>
        <c:axPos val="b"/>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a:t>Frequrency (GHz)</a:t>
                </a:r>
              </a:p>
            </c:rich>
          </c:tx>
          <c:layout>
            <c:manualLayout>
              <c:xMode val="edge"/>
              <c:yMode val="edge"/>
              <c:x val="0.39532293986636974"/>
              <c:y val="0.9200652528548124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502111504"/>
        <c:crosses val="autoZero"/>
        <c:crossBetween val="midCat"/>
      </c:valAx>
      <c:valAx>
        <c:axId val="502111504"/>
        <c:scaling>
          <c:orientation val="minMax"/>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a:t>Wavenumber and phase constant (radians/meter)</a:t>
                </a:r>
              </a:p>
            </c:rich>
          </c:tx>
          <c:layout>
            <c:manualLayout>
              <c:xMode val="edge"/>
              <c:yMode val="edge"/>
              <c:x val="5.5679287305122494E-3"/>
              <c:y val="0.222120717781402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502384720"/>
        <c:crosses val="autoZero"/>
        <c:crossBetween val="midCat"/>
      </c:valAx>
      <c:valAx>
        <c:axId val="502112680"/>
        <c:scaling>
          <c:orientation val="minMax"/>
        </c:scaling>
        <c:delete val="1"/>
        <c:axPos val="b"/>
        <c:numFmt formatCode="0.0000" sourceLinked="1"/>
        <c:majorTickMark val="out"/>
        <c:minorTickMark val="none"/>
        <c:tickLblPos val="nextTo"/>
        <c:crossAx val="502110720"/>
        <c:crosses val="autoZero"/>
        <c:crossBetween val="midCat"/>
      </c:valAx>
      <c:valAx>
        <c:axId val="502110720"/>
        <c:scaling>
          <c:orientation val="minMax"/>
        </c:scaling>
        <c:delete val="0"/>
        <c:axPos val="r"/>
        <c:title>
          <c:tx>
            <c:rich>
              <a:bodyPr/>
              <a:lstStyle/>
              <a:p>
                <a:pPr>
                  <a:defRPr sz="1600" b="0" i="0" u="none" strike="noStrike" baseline="0">
                    <a:solidFill>
                      <a:srgbClr val="000000"/>
                    </a:solidFill>
                    <a:latin typeface="Arial"/>
                    <a:ea typeface="Arial"/>
                    <a:cs typeface="Arial"/>
                  </a:defRPr>
                </a:pPr>
                <a:r>
                  <a:rPr lang="en-US"/>
                  <a:t>Guide wavelength (meters)</a:t>
                </a:r>
              </a:p>
            </c:rich>
          </c:tx>
          <c:layout>
            <c:manualLayout>
              <c:xMode val="edge"/>
              <c:yMode val="edge"/>
              <c:x val="0.90979955456570161"/>
              <c:y val="0.28221859706362151"/>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502112680"/>
        <c:crosses val="max"/>
        <c:crossBetween val="midCat"/>
      </c:valAx>
      <c:spPr>
        <a:noFill/>
        <a:ln w="12700">
          <a:solidFill>
            <a:srgbClr val="808080"/>
          </a:solidFill>
          <a:prstDash val="solid"/>
        </a:ln>
      </c:spPr>
    </c:plotArea>
    <c:legend>
      <c:legendPos val="r"/>
      <c:layout>
        <c:manualLayout>
          <c:xMode val="edge"/>
          <c:yMode val="edge"/>
          <c:x val="0.15256124721603564"/>
          <c:y val="0.3442088091353997"/>
          <c:w val="0.28062360801781738"/>
          <c:h val="0.14845024469820556"/>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6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Waveguide wave impedance - WR90 waveguide</a:t>
            </a:r>
          </a:p>
          <a:p>
            <a:pPr>
              <a:defRPr/>
            </a:pPr>
            <a:r>
              <a:rPr lang="en-US"/>
              <a:t>Microwaves101 free download</a:t>
            </a:r>
          </a:p>
        </c:rich>
      </c:tx>
      <c:layout/>
      <c:overlay val="0"/>
    </c:title>
    <c:autoTitleDeleted val="0"/>
    <c:plotArea>
      <c:layout/>
      <c:scatterChart>
        <c:scatterStyle val="smoothMarker"/>
        <c:varyColors val="0"/>
        <c:ser>
          <c:idx val="0"/>
          <c:order val="0"/>
          <c:spPr>
            <a:ln w="38100"/>
          </c:spPr>
          <c:marker>
            <c:symbol val="none"/>
          </c:marker>
          <c:xVal>
            <c:numRef>
              <c:f>'Custom WG'!$B$38:$B$56</c:f>
              <c:numCache>
                <c:formatCode>General</c:formatCode>
                <c:ptCount val="19"/>
                <c:pt idx="0" formatCode="0.0000">
                  <c:v>6.5636975156971635</c:v>
                </c:pt>
                <c:pt idx="1">
                  <c:v>6.6293344908541352</c:v>
                </c:pt>
                <c:pt idx="2">
                  <c:v>6.6956278357626768</c:v>
                </c:pt>
                <c:pt idx="3">
                  <c:v>6.7625841141203038</c:v>
                </c:pt>
                <c:pt idx="4">
                  <c:v>6.8302099552615072</c:v>
                </c:pt>
                <c:pt idx="5">
                  <c:v>6.8985120548141223</c:v>
                </c:pt>
                <c:pt idx="6">
                  <c:v>6.9674971753622632</c:v>
                </c:pt>
                <c:pt idx="7">
                  <c:v>7.0371721471158857</c:v>
                </c:pt>
                <c:pt idx="8">
                  <c:v>7.1075438685870447</c:v>
                </c:pt>
                <c:pt idx="9">
                  <c:v>7.178619307272915</c:v>
                </c:pt>
                <c:pt idx="10">
                  <c:v>7.2504055003456438</c:v>
                </c:pt>
                <c:pt idx="11">
                  <c:v>7.3229095553491002</c:v>
                </c:pt>
                <c:pt idx="12">
                  <c:v>7.6890550331165555</c:v>
                </c:pt>
                <c:pt idx="13">
                  <c:v>8.0735077847723833</c:v>
                </c:pt>
                <c:pt idx="14">
                  <c:v>8.4771831740110031</c:v>
                </c:pt>
                <c:pt idx="15">
                  <c:v>8.9010423327115529</c:v>
                </c:pt>
                <c:pt idx="16">
                  <c:v>9.346094449347131</c:v>
                </c:pt>
                <c:pt idx="17">
                  <c:v>9.8133991718144884</c:v>
                </c:pt>
                <c:pt idx="18">
                  <c:v>10.304069130405214</c:v>
                </c:pt>
              </c:numCache>
            </c:numRef>
          </c:xVal>
          <c:yVal>
            <c:numRef>
              <c:f>'Custom WG'!$T$38:$T$56</c:f>
              <c:numCache>
                <c:formatCode>0.00E+00</c:formatCode>
                <c:ptCount val="19"/>
                <c:pt idx="0">
                  <c:v>8430.2625433643752</c:v>
                </c:pt>
                <c:pt idx="1">
                  <c:v>2559.6774565932187</c:v>
                </c:pt>
                <c:pt idx="2">
                  <c:v>1861.9299862736937</c:v>
                </c:pt>
                <c:pt idx="3">
                  <c:v>1540.1008868538981</c:v>
                </c:pt>
                <c:pt idx="4">
                  <c:v>1345.8003759095104</c:v>
                </c:pt>
                <c:pt idx="5">
                  <c:v>1212.606438383428</c:v>
                </c:pt>
                <c:pt idx="6">
                  <c:v>1114.2014860300171</c:v>
                </c:pt>
                <c:pt idx="7">
                  <c:v>1037.8034871518596</c:v>
                </c:pt>
                <c:pt idx="8">
                  <c:v>976.35942877654793</c:v>
                </c:pt>
                <c:pt idx="9">
                  <c:v>925.61832126032596</c:v>
                </c:pt>
                <c:pt idx="10">
                  <c:v>882.84597066999345</c:v>
                </c:pt>
                <c:pt idx="11">
                  <c:v>846.19368761379474</c:v>
                </c:pt>
                <c:pt idx="12">
                  <c:v>721.3520091035416</c:v>
                </c:pt>
                <c:pt idx="13">
                  <c:v>645.74169768629929</c:v>
                </c:pt>
                <c:pt idx="14">
                  <c:v>594.40811987317136</c:v>
                </c:pt>
                <c:pt idx="15">
                  <c:v>557.08632073787305</c:v>
                </c:pt>
                <c:pt idx="16">
                  <c:v>528.68539756581356</c:v>
                </c:pt>
                <c:pt idx="17">
                  <c:v>506.35963479653714</c:v>
                </c:pt>
                <c:pt idx="18">
                  <c:v>488.37930284300529</c:v>
                </c:pt>
              </c:numCache>
            </c:numRef>
          </c:yVal>
          <c:smooth val="1"/>
        </c:ser>
        <c:dLbls>
          <c:showLegendKey val="0"/>
          <c:showVal val="0"/>
          <c:showCatName val="0"/>
          <c:showSerName val="0"/>
          <c:showPercent val="0"/>
          <c:showBubbleSize val="0"/>
        </c:dLbls>
        <c:axId val="502109152"/>
        <c:axId val="502142104"/>
      </c:scatterChart>
      <c:valAx>
        <c:axId val="502109152"/>
        <c:scaling>
          <c:orientation val="minMax"/>
        </c:scaling>
        <c:delete val="0"/>
        <c:axPos val="b"/>
        <c:majorGridlines/>
        <c:title>
          <c:tx>
            <c:rich>
              <a:bodyPr/>
              <a:lstStyle/>
              <a:p>
                <a:pPr>
                  <a:defRPr/>
                </a:pPr>
                <a:r>
                  <a:rPr lang="en-US"/>
                  <a:t>Frequency (GHz)</a:t>
                </a:r>
              </a:p>
            </c:rich>
          </c:tx>
          <c:layout/>
          <c:overlay val="0"/>
        </c:title>
        <c:numFmt formatCode="General" sourceLinked="0"/>
        <c:majorTickMark val="out"/>
        <c:minorTickMark val="none"/>
        <c:tickLblPos val="nextTo"/>
        <c:crossAx val="502142104"/>
        <c:crosses val="autoZero"/>
        <c:crossBetween val="midCat"/>
      </c:valAx>
      <c:valAx>
        <c:axId val="502142104"/>
        <c:scaling>
          <c:orientation val="minMax"/>
        </c:scaling>
        <c:delete val="0"/>
        <c:axPos val="l"/>
        <c:majorGridlines/>
        <c:title>
          <c:tx>
            <c:rich>
              <a:bodyPr rot="-5400000" vert="horz"/>
              <a:lstStyle/>
              <a:p>
                <a:pPr>
                  <a:defRPr/>
                </a:pPr>
                <a:r>
                  <a:rPr lang="en-US"/>
                  <a:t>ZTE (ohms)</a:t>
                </a:r>
              </a:p>
            </c:rich>
          </c:tx>
          <c:layout/>
          <c:overlay val="0"/>
        </c:title>
        <c:numFmt formatCode="General" sourceLinked="0"/>
        <c:majorTickMark val="out"/>
        <c:minorTickMark val="none"/>
        <c:tickLblPos val="nextTo"/>
        <c:crossAx val="502109152"/>
        <c:crosses val="autoZero"/>
        <c:crossBetween val="midCat"/>
      </c:valAx>
    </c:plotArea>
    <c:plotVisOnly val="1"/>
    <c:dispBlanksAs val="gap"/>
    <c:showDLblsOverMax val="0"/>
  </c:chart>
  <c:txPr>
    <a:bodyPr/>
    <a:lstStyle/>
    <a:p>
      <a:pPr>
        <a:defRPr sz="1600"/>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88" workbookViewId="0"/>
  </sheetViews>
  <pageMargins left="0.75" right="0.75" top="1" bottom="1" header="0.5" footer="0.5"/>
  <headerFooter alignWithMargins="0"/>
  <drawing r:id="rId1"/>
</chartsheet>
</file>

<file path=xl/chartsheets/sheet2.xml><?xml version="1.0" encoding="utf-8"?>
<chartsheet xmlns="http://schemas.openxmlformats.org/spreadsheetml/2006/main" xmlns:r="http://schemas.openxmlformats.org/officeDocument/2006/relationships">
  <sheetPr/>
  <sheetViews>
    <sheetView zoomScale="88" workbookViewId="0"/>
  </sheetViews>
  <pageMargins left="0.75" right="0.75" top="1" bottom="1" header="0.5" footer="0.5"/>
  <headerFooter alignWithMargins="0"/>
  <drawing r:id="rId1"/>
</chartsheet>
</file>

<file path=xl/chartsheets/sheet3.xml><?xml version="1.0" encoding="utf-8"?>
<chartsheet xmlns="http://schemas.openxmlformats.org/spreadsheetml/2006/main" xmlns:r="http://schemas.openxmlformats.org/officeDocument/2006/relationships">
  <sheetPr/>
  <sheetViews>
    <sheetView zoomScale="88" workbookViewId="0"/>
  </sheetViews>
  <pageMargins left="0.75" right="0.75" top="1" bottom="1" header="0.5" footer="0.5"/>
  <headerFooter alignWithMargins="0"/>
  <drawing r:id="rId1"/>
</chartsheet>
</file>

<file path=xl/chartsheets/sheet4.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114300</xdr:colOff>
      <xdr:row>5</xdr:row>
      <xdr:rowOff>19050</xdr:rowOff>
    </xdr:from>
    <xdr:to>
      <xdr:col>9</xdr:col>
      <xdr:colOff>228600</xdr:colOff>
      <xdr:row>41</xdr:row>
      <xdr:rowOff>76200</xdr:rowOff>
    </xdr:to>
    <xdr:sp macro="" textlink="">
      <xdr:nvSpPr>
        <xdr:cNvPr id="1025" name="Text Box 1"/>
        <xdr:cNvSpPr txBox="1">
          <a:spLocks noChangeArrowheads="1"/>
        </xdr:cNvSpPr>
      </xdr:nvSpPr>
      <xdr:spPr bwMode="auto">
        <a:xfrm>
          <a:off x="1333500" y="828675"/>
          <a:ext cx="4381500" cy="5886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Waveguide_Loss_M101_Rev_5.xlsx</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Updated December 2017 to fix several bugs. Example: dB/m and dB/cm calcs were backwards... Please discard earluier versions...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Apologies for the fact that the guides in the plot are all millimeterwave.  It's easy to make a custom table by pulling down the sizes you want plotted in the blue fields.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Updated January 2016 to make comparing and plotting standard waveguides easier.  Also, added many millimeter and sub-milimeterwave standard guide to the list, all the way to WR0.51! We've also added a plot of waveguide impedance.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Updated January 2015. spreadsheet did NOT have muR in loss calculations, this has now been fixed.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spreadsheet does many things: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It contains the waveguide table that was previously a separate download.  The site offers an even better download on waveguide dimensions, be sure to check that out here: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http://www.microwaves101.com/encyclopedias/rectangular-waveguide-dimensions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It provides a plot of waveguide loss for up to 10 different standard rectangular waveguides.  The legend on the plot now keeps track of the waveguide geometry and material you chose (also new for January 2015!)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It has a separate page for the user to design their own waveguide, including filling it with a dielectric of their choice.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Let us know if you find any bugs or have any suggestions!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Unknown Editor</a:t>
          </a:r>
        </a:p>
        <a:p>
          <a:pPr algn="l" rtl="0">
            <a:defRPr sz="1000"/>
          </a:pPr>
          <a:r>
            <a:rPr lang="en-US" sz="1000" b="0" i="0" u="none" strike="noStrike" baseline="0">
              <a:solidFill>
                <a:srgbClr val="000000"/>
              </a:solidFill>
              <a:latin typeface="Arial"/>
              <a:cs typeface="Arial"/>
            </a:rPr>
            <a:t>Microwaves101.com</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48267" cy="629948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267" cy="629948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267" cy="629948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38190" cy="62897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microwaves101.com/images/downloads/waveguide/TD-00077B.pdf" TargetMode="External"/><Relationship Id="rId1" Type="http://schemas.openxmlformats.org/officeDocument/2006/relationships/hyperlink" Target="http://www.microwaves101.com/images/downloads/waveguide/TD-00036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28" sqref="L28:M28"/>
    </sheetView>
  </sheetViews>
  <sheetFormatPr defaultRowHeight="12.75" x14ac:dyDescent="0.2"/>
  <sheetData/>
  <phoneticPr fontId="1" type="noConversion"/>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2"/>
  <sheetViews>
    <sheetView zoomScale="80" zoomScaleNormal="80" workbookViewId="0">
      <selection activeCell="I4" sqref="I4"/>
    </sheetView>
  </sheetViews>
  <sheetFormatPr defaultRowHeight="12.75" x14ac:dyDescent="0.2"/>
  <cols>
    <col min="2" max="2" width="11.42578125" customWidth="1"/>
    <col min="9" max="9" width="10.5703125" customWidth="1"/>
    <col min="10" max="10" width="9.5703125" customWidth="1"/>
    <col min="12" max="12" width="12.42578125" bestFit="1" customWidth="1"/>
    <col min="18" max="18" width="11.42578125" customWidth="1"/>
    <col min="22" max="22" width="12.42578125" bestFit="1" customWidth="1"/>
    <col min="23" max="23" width="9.5703125" bestFit="1" customWidth="1"/>
  </cols>
  <sheetData>
    <row r="1" spans="1:28" x14ac:dyDescent="0.2">
      <c r="A1" t="s">
        <v>327</v>
      </c>
      <c r="I1" s="45" t="s">
        <v>463</v>
      </c>
    </row>
    <row r="2" spans="1:28" x14ac:dyDescent="0.2">
      <c r="A2" s="45" t="s">
        <v>466</v>
      </c>
      <c r="I2" s="45" t="s">
        <v>464</v>
      </c>
    </row>
    <row r="4" spans="1:28" x14ac:dyDescent="0.2">
      <c r="I4" s="25" t="s">
        <v>456</v>
      </c>
      <c r="K4" s="25" t="s">
        <v>455</v>
      </c>
      <c r="M4" s="25" t="s">
        <v>454</v>
      </c>
      <c r="O4" s="25" t="s">
        <v>453</v>
      </c>
      <c r="Q4" s="25" t="s">
        <v>452</v>
      </c>
      <c r="S4" s="25" t="s">
        <v>451</v>
      </c>
      <c r="U4" s="25" t="s">
        <v>450</v>
      </c>
      <c r="W4" s="25" t="s">
        <v>449</v>
      </c>
      <c r="Y4" s="25" t="s">
        <v>448</v>
      </c>
      <c r="AA4" s="25" t="s">
        <v>447</v>
      </c>
    </row>
    <row r="5" spans="1:28" x14ac:dyDescent="0.2">
      <c r="A5" t="s">
        <v>329</v>
      </c>
      <c r="B5" s="51">
        <v>1.25</v>
      </c>
      <c r="C5" t="s">
        <v>26</v>
      </c>
      <c r="I5" s="25" t="s">
        <v>357</v>
      </c>
      <c r="K5" s="25" t="s">
        <v>357</v>
      </c>
      <c r="M5" s="25" t="s">
        <v>357</v>
      </c>
      <c r="O5" s="25" t="s">
        <v>357</v>
      </c>
      <c r="Q5" s="25" t="s">
        <v>357</v>
      </c>
      <c r="S5" s="25" t="s">
        <v>357</v>
      </c>
      <c r="U5" s="25" t="s">
        <v>357</v>
      </c>
      <c r="W5" s="25" t="s">
        <v>357</v>
      </c>
      <c r="Y5" s="25" t="s">
        <v>357</v>
      </c>
      <c r="AA5" s="25" t="s">
        <v>357</v>
      </c>
    </row>
    <row r="6" spans="1:28" x14ac:dyDescent="0.2">
      <c r="A6" t="s">
        <v>328</v>
      </c>
      <c r="B6" s="51">
        <v>2</v>
      </c>
      <c r="H6" s="45" t="s">
        <v>465</v>
      </c>
      <c r="I6" t="str">
        <f>CONCATENATE(I4," ",I5)</f>
        <v>WR0.8 Copper</v>
      </c>
      <c r="K6" t="str">
        <f>CONCATENATE(K4," ",K5)</f>
        <v>WR1.0 Copper</v>
      </c>
      <c r="M6" t="str">
        <f>CONCATENATE(M4," ",M5)</f>
        <v>WR1.2 Copper</v>
      </c>
      <c r="O6" t="str">
        <f>CONCATENATE(O4," ",O5)</f>
        <v>WR1.5 Copper</v>
      </c>
      <c r="Q6" t="str">
        <f>CONCATENATE(Q4," ",Q5)</f>
        <v>WR1.9 Copper</v>
      </c>
      <c r="S6" t="str">
        <f>CONCATENATE(S4," ",S5)</f>
        <v>WR2.2 Copper</v>
      </c>
      <c r="U6" t="str">
        <f>CONCATENATE(U4," ",U5)</f>
        <v>WR2.8 Copper</v>
      </c>
      <c r="W6" t="str">
        <f>CONCATENATE(W4," ",W5)</f>
        <v>WR3.4 Copper</v>
      </c>
      <c r="Y6" t="str">
        <f>CONCATENATE(Y4," ",Y5)</f>
        <v>WR4.3 Copper</v>
      </c>
      <c r="AA6" t="str">
        <f>CONCATENATE(AA4," ",AA5)</f>
        <v>WR5.1 Copper</v>
      </c>
    </row>
    <row r="7" spans="1:28" x14ac:dyDescent="0.2">
      <c r="A7" t="s">
        <v>330</v>
      </c>
      <c r="B7">
        <f>(B6/B5)^(1/20)</f>
        <v>1.0237784865237978</v>
      </c>
      <c r="I7" t="s">
        <v>459</v>
      </c>
      <c r="J7" t="s">
        <v>461</v>
      </c>
      <c r="K7" t="s">
        <v>459</v>
      </c>
      <c r="L7" t="s">
        <v>461</v>
      </c>
      <c r="M7" t="s">
        <v>459</v>
      </c>
      <c r="N7" t="s">
        <v>461</v>
      </c>
      <c r="O7" t="s">
        <v>459</v>
      </c>
      <c r="P7" t="s">
        <v>461</v>
      </c>
      <c r="Q7" t="s">
        <v>459</v>
      </c>
      <c r="R7" t="s">
        <v>461</v>
      </c>
      <c r="S7" t="s">
        <v>459</v>
      </c>
      <c r="T7" t="s">
        <v>461</v>
      </c>
      <c r="U7" t="s">
        <v>459</v>
      </c>
      <c r="V7" t="s">
        <v>461</v>
      </c>
      <c r="W7" t="s">
        <v>459</v>
      </c>
      <c r="X7" t="s">
        <v>461</v>
      </c>
      <c r="Y7" t="s">
        <v>459</v>
      </c>
      <c r="Z7" t="s">
        <v>461</v>
      </c>
      <c r="AA7" t="s">
        <v>459</v>
      </c>
      <c r="AB7" t="s">
        <v>461</v>
      </c>
    </row>
    <row r="8" spans="1:28" x14ac:dyDescent="0.2">
      <c r="A8" t="s">
        <v>300</v>
      </c>
      <c r="B8" s="24">
        <f>1/(B9*B10)^0.5</f>
        <v>299792457.95971459</v>
      </c>
      <c r="C8" t="s">
        <v>13</v>
      </c>
      <c r="I8" s="2">
        <f t="shared" ref="I8:I26" si="0">I32</f>
        <v>936.8514311241081</v>
      </c>
      <c r="J8" s="1">
        <f>IF($B$13="dB/cm",$O32,$N32)</f>
        <v>156.7635381420846</v>
      </c>
      <c r="K8" s="1">
        <f t="shared" ref="K8:K26" si="1">$I57</f>
        <v>749.48114489928673</v>
      </c>
      <c r="L8" s="1">
        <f>IF($B$13="dB/cm",$O57,$N57)</f>
        <v>112.17085685730629</v>
      </c>
      <c r="M8" s="1">
        <f t="shared" ref="M8:M26" si="2">$I82</f>
        <v>604.42027814458595</v>
      </c>
      <c r="N8" s="1">
        <f>IF($B$13="dB/cm",$O82,$N82)</f>
        <v>81.235808969591204</v>
      </c>
      <c r="O8" s="1">
        <f t="shared" ref="O8:O26" si="3">$I107</f>
        <v>493.07970059163597</v>
      </c>
      <c r="P8" s="1">
        <f>IF($B$13="dB/cm",$O107,$N107)</f>
        <v>59.856959897524845</v>
      </c>
      <c r="Q8" s="1">
        <f t="shared" ref="Q8:Q26" si="4">$I132</f>
        <v>398.66018345706726</v>
      </c>
      <c r="R8" s="1">
        <f>IF($B$13="dB/cm",$O132,$N132)</f>
        <v>43.515428409049257</v>
      </c>
      <c r="S8" s="1">
        <f t="shared" ref="S8:S26" si="5">$I157</f>
        <v>328.71980039442383</v>
      </c>
      <c r="T8" s="1">
        <f>IF($B$13="dB/cm",$O157,$N157)</f>
        <v>32.582002067371391</v>
      </c>
      <c r="U8" s="1">
        <f t="shared" ref="U8:U26" si="6">$I182</f>
        <v>263.90181158425588</v>
      </c>
      <c r="V8" s="1">
        <f>IF($B$13="dB/cm",$O182,$N182)</f>
        <v>23.437027377137191</v>
      </c>
      <c r="W8" s="1">
        <f t="shared" ref="W8:W26" si="7">$I207</f>
        <v>216.86375720465463</v>
      </c>
      <c r="X8" s="1">
        <f>IF($B$13="dB/cm",$O207,$N207)</f>
        <v>17.459002882995879</v>
      </c>
      <c r="Y8" s="1">
        <f t="shared" ref="Y8:Y26" si="8">$I232</f>
        <v>171.58451119489158</v>
      </c>
      <c r="Z8" s="1">
        <f>IF($B$13="dB/cm",$O232,$N232)</f>
        <v>12.28728955879849</v>
      </c>
      <c r="AA8" s="1">
        <f t="shared" ref="AA8:AA26" si="9">$I257</f>
        <v>144.68747971028694</v>
      </c>
      <c r="AB8" s="1">
        <f>IF($B13="dB/cm",$O257,$N257)</f>
        <v>9.5144874539775621</v>
      </c>
    </row>
    <row r="9" spans="1:28" x14ac:dyDescent="0.2">
      <c r="A9" t="s">
        <v>27</v>
      </c>
      <c r="B9">
        <f>4*PI()*0.0000001</f>
        <v>1.2566370614359173E-6</v>
      </c>
      <c r="I9" s="2">
        <f t="shared" si="0"/>
        <v>959.12834025389338</v>
      </c>
      <c r="J9" s="1">
        <f t="shared" ref="J9:J26" si="10">IF($B$13="dB/cm",$O33,$N33)</f>
        <v>149.78150128285822</v>
      </c>
      <c r="K9" s="1">
        <f t="shared" si="1"/>
        <v>767.30267220311498</v>
      </c>
      <c r="L9" s="1">
        <f t="shared" ref="L9:L26" si="11">IF($B$13="dB/cm",$O58,$N58)</f>
        <v>107.17491796494173</v>
      </c>
      <c r="M9" s="1">
        <f t="shared" si="2"/>
        <v>618.79247758315705</v>
      </c>
      <c r="N9" s="1">
        <f t="shared" ref="N9:N26" si="12">IF($B$13="dB/cm",$O83,$N83)</f>
        <v>77.617675446726565</v>
      </c>
      <c r="O9" s="1">
        <f t="shared" si="3"/>
        <v>504.80438960731243</v>
      </c>
      <c r="P9" s="1">
        <f t="shared" ref="P9:P26" si="13">IF($B$13="dB/cm",$O108,$N108)</f>
        <v>57.191011519229377</v>
      </c>
      <c r="Q9" s="1">
        <f t="shared" si="4"/>
        <v>408.13971925697587</v>
      </c>
      <c r="R9" s="1">
        <f t="shared" ref="R9:R26" si="14">IF($B$13="dB/cm",$O133,$N133)</f>
        <v>41.577309834424895</v>
      </c>
      <c r="S9" s="1">
        <f t="shared" si="5"/>
        <v>336.53625973820812</v>
      </c>
      <c r="T9" s="1">
        <f t="shared" ref="T9:T26" si="15">IF($B$13="dB/cm",$O158,$N158)</f>
        <v>31.13084357683266</v>
      </c>
      <c r="U9" s="1">
        <f t="shared" si="6"/>
        <v>270.1769972546179</v>
      </c>
      <c r="V9" s="1">
        <f t="shared" ref="V9:V26" si="16">IF($B$13="dB/cm",$O183,$N183)</f>
        <v>22.393173742821077</v>
      </c>
      <c r="W9" s="1">
        <f t="shared" si="7"/>
        <v>222.02044913284567</v>
      </c>
      <c r="X9" s="1">
        <f t="shared" ref="X9:X26" si="17">IF($B$13="dB/cm",$O208,$N208)</f>
        <v>16.681402408426781</v>
      </c>
      <c r="Y9" s="1">
        <f t="shared" si="8"/>
        <v>175.66453118203174</v>
      </c>
      <c r="Z9" s="1">
        <f t="shared" ref="Z9:Z26" si="18">IF($B$13="dB/cm",$O233,$N233)</f>
        <v>11.740030230409506</v>
      </c>
      <c r="AA9" s="1">
        <f t="shared" si="9"/>
        <v>148.12792899674025</v>
      </c>
      <c r="AB9" s="1">
        <f t="shared" ref="AB9:AB26" si="19">IF($B14="dB/cm",$O258,$N258)</f>
        <v>9.0907249969187838</v>
      </c>
    </row>
    <row r="10" spans="1:28" x14ac:dyDescent="0.2">
      <c r="A10" t="s">
        <v>28</v>
      </c>
      <c r="B10" s="1">
        <v>8.8541878200000004E-12</v>
      </c>
      <c r="I10" s="2">
        <f t="shared" si="0"/>
        <v>981.93496056721312</v>
      </c>
      <c r="J10" s="1">
        <f t="shared" si="10"/>
        <v>143.82617726332873</v>
      </c>
      <c r="K10" s="1">
        <f t="shared" si="1"/>
        <v>785.54796845377075</v>
      </c>
      <c r="L10" s="1">
        <f t="shared" si="11"/>
        <v>102.91363497751605</v>
      </c>
      <c r="M10" s="1">
        <f t="shared" si="2"/>
        <v>633.50642617239555</v>
      </c>
      <c r="N10" s="1">
        <f t="shared" si="12"/>
        <v>74.531590696814675</v>
      </c>
      <c r="O10" s="1">
        <f t="shared" si="3"/>
        <v>516.8078739827439</v>
      </c>
      <c r="P10" s="1">
        <f t="shared" si="13"/>
        <v>54.917092499293446</v>
      </c>
      <c r="Q10" s="1">
        <f t="shared" si="4"/>
        <v>417.84466407115445</v>
      </c>
      <c r="R10" s="1">
        <f t="shared" si="14"/>
        <v>39.924192795246817</v>
      </c>
      <c r="S10" s="1">
        <f t="shared" si="5"/>
        <v>344.53858265516243</v>
      </c>
      <c r="T10" s="1">
        <f t="shared" si="15"/>
        <v>29.893078840109837</v>
      </c>
      <c r="U10" s="1">
        <f t="shared" si="6"/>
        <v>276.60139734287696</v>
      </c>
      <c r="V10" s="1">
        <f t="shared" si="16"/>
        <v>21.502819431227728</v>
      </c>
      <c r="W10" s="1">
        <f t="shared" si="7"/>
        <v>227.29975939055856</v>
      </c>
      <c r="X10" s="1">
        <f t="shared" si="17"/>
        <v>16.018148564717915</v>
      </c>
      <c r="Y10" s="1">
        <f t="shared" si="8"/>
        <v>179.84156786945294</v>
      </c>
      <c r="Z10" s="1">
        <f t="shared" si="18"/>
        <v>11.273245724830774</v>
      </c>
      <c r="AA10" s="1">
        <f t="shared" si="9"/>
        <v>151.65018696018731</v>
      </c>
      <c r="AB10" s="1">
        <f t="shared" si="19"/>
        <v>8.7292770713378474</v>
      </c>
    </row>
    <row r="11" spans="1:28" x14ac:dyDescent="0.2">
      <c r="A11" t="s">
        <v>15</v>
      </c>
      <c r="B11">
        <f>(B9/B10)^0.5</f>
        <v>376.73031341114654</v>
      </c>
      <c r="C11" t="s">
        <v>307</v>
      </c>
      <c r="I11" s="2">
        <f t="shared" si="0"/>
        <v>1005.2838877943065</v>
      </c>
      <c r="J11" s="1">
        <f t="shared" si="10"/>
        <v>138.69185282069998</v>
      </c>
      <c r="K11" s="1">
        <f t="shared" si="1"/>
        <v>804.22711023544548</v>
      </c>
      <c r="L11" s="1">
        <f t="shared" si="11"/>
        <v>99.239811466393903</v>
      </c>
      <c r="M11" s="1">
        <f t="shared" si="2"/>
        <v>648.5702501898752</v>
      </c>
      <c r="N11" s="1">
        <f t="shared" si="12"/>
        <v>71.870952868959179</v>
      </c>
      <c r="O11" s="1">
        <f t="shared" si="3"/>
        <v>529.09678304963518</v>
      </c>
      <c r="P11" s="1">
        <f t="shared" si="13"/>
        <v>52.956655423774201</v>
      </c>
      <c r="Q11" s="1">
        <f t="shared" si="4"/>
        <v>427.78037778481121</v>
      </c>
      <c r="R11" s="1">
        <f t="shared" si="14"/>
        <v>38.498974084569682</v>
      </c>
      <c r="S11" s="1">
        <f t="shared" si="5"/>
        <v>352.73118869975661</v>
      </c>
      <c r="T11" s="1">
        <f t="shared" si="15"/>
        <v>28.825952060586243</v>
      </c>
      <c r="U11" s="1">
        <f t="shared" si="6"/>
        <v>283.1785599420582</v>
      </c>
      <c r="V11" s="1">
        <f t="shared" si="16"/>
        <v>20.735209156854282</v>
      </c>
      <c r="W11" s="1">
        <f t="shared" si="7"/>
        <v>232.70460365608943</v>
      </c>
      <c r="X11" s="1">
        <f t="shared" si="17"/>
        <v>15.446330740825434</v>
      </c>
      <c r="Y11" s="1">
        <f t="shared" si="8"/>
        <v>184.1179281674554</v>
      </c>
      <c r="Z11" s="1">
        <f t="shared" si="18"/>
        <v>10.870812022050874</v>
      </c>
      <c r="AA11" s="1">
        <f t="shared" si="9"/>
        <v>155.25619888715153</v>
      </c>
      <c r="AB11" s="1">
        <f t="shared" si="19"/>
        <v>8.4176582722663067</v>
      </c>
    </row>
    <row r="12" spans="1:28" x14ac:dyDescent="0.2">
      <c r="I12" s="2">
        <f t="shared" si="0"/>
        <v>1029.1880171728144</v>
      </c>
      <c r="J12" s="1">
        <f t="shared" si="10"/>
        <v>134.2270942281005</v>
      </c>
      <c r="K12" s="1">
        <f t="shared" si="1"/>
        <v>823.35041373825186</v>
      </c>
      <c r="L12" s="1">
        <f t="shared" si="11"/>
        <v>96.04509027721673</v>
      </c>
      <c r="M12" s="1">
        <f t="shared" si="2"/>
        <v>663.99226914375129</v>
      </c>
      <c r="N12" s="1">
        <f t="shared" si="12"/>
        <v>69.557288094469243</v>
      </c>
      <c r="O12" s="1">
        <f t="shared" si="3"/>
        <v>541.67790377516565</v>
      </c>
      <c r="P12" s="1">
        <f t="shared" si="13"/>
        <v>51.251878412508141</v>
      </c>
      <c r="Q12" s="1">
        <f t="shared" si="4"/>
        <v>437.95234773311245</v>
      </c>
      <c r="R12" s="1">
        <f t="shared" si="14"/>
        <v>37.259617757182788</v>
      </c>
      <c r="S12" s="1">
        <f t="shared" si="5"/>
        <v>361.11860251677695</v>
      </c>
      <c r="T12" s="1">
        <f t="shared" si="15"/>
        <v>27.897988993290955</v>
      </c>
      <c r="U12" s="1">
        <f t="shared" si="6"/>
        <v>289.9121175134689</v>
      </c>
      <c r="V12" s="1">
        <f t="shared" si="16"/>
        <v>20.067702728974218</v>
      </c>
      <c r="W12" s="1">
        <f t="shared" si="7"/>
        <v>238.23796693815146</v>
      </c>
      <c r="X12" s="1">
        <f t="shared" si="17"/>
        <v>14.949083523367101</v>
      </c>
      <c r="Y12" s="1">
        <f t="shared" si="8"/>
        <v>188.49597384117482</v>
      </c>
      <c r="Z12" s="1">
        <f t="shared" si="18"/>
        <v>10.520859588675192</v>
      </c>
      <c r="AA12" s="1">
        <f t="shared" si="9"/>
        <v>158.94795632012571</v>
      </c>
      <c r="AB12" s="1">
        <f t="shared" si="19"/>
        <v>8.1466775957787423</v>
      </c>
    </row>
    <row r="13" spans="1:28" x14ac:dyDescent="0.2">
      <c r="A13" t="s">
        <v>460</v>
      </c>
      <c r="B13" s="51" t="s">
        <v>16</v>
      </c>
      <c r="D13" t="s">
        <v>16</v>
      </c>
      <c r="I13" s="2">
        <f t="shared" si="0"/>
        <v>1053.6605505696123</v>
      </c>
      <c r="J13" s="1">
        <f t="shared" si="10"/>
        <v>130.31759566458229</v>
      </c>
      <c r="K13" s="1">
        <f t="shared" si="1"/>
        <v>842.92844045569018</v>
      </c>
      <c r="L13" s="1">
        <f t="shared" si="11"/>
        <v>93.24768082250813</v>
      </c>
      <c r="M13" s="1">
        <f t="shared" si="2"/>
        <v>679.78100036749186</v>
      </c>
      <c r="N13" s="1">
        <f t="shared" si="12"/>
        <v>67.531362408963176</v>
      </c>
      <c r="O13" s="1">
        <f t="shared" si="3"/>
        <v>554.55818451032246</v>
      </c>
      <c r="P13" s="1">
        <f t="shared" si="13"/>
        <v>49.759116118996729</v>
      </c>
      <c r="Q13" s="1">
        <f t="shared" si="4"/>
        <v>448.36619173174984</v>
      </c>
      <c r="R13" s="1">
        <f t="shared" si="14"/>
        <v>36.174394070142363</v>
      </c>
      <c r="S13" s="1">
        <f t="shared" si="5"/>
        <v>369.70545634021482</v>
      </c>
      <c r="T13" s="1">
        <f t="shared" si="15"/>
        <v>27.08543212076437</v>
      </c>
      <c r="U13" s="1">
        <f t="shared" si="6"/>
        <v>296.80578889284857</v>
      </c>
      <c r="V13" s="1">
        <f t="shared" si="16"/>
        <v>19.483210786842843</v>
      </c>
      <c r="W13" s="1">
        <f t="shared" si="7"/>
        <v>243.90290522444727</v>
      </c>
      <c r="X13" s="1">
        <f t="shared" si="17"/>
        <v>14.513676492494477</v>
      </c>
      <c r="Y13" s="1">
        <f t="shared" si="8"/>
        <v>192.97812281494734</v>
      </c>
      <c r="Z13" s="1">
        <f t="shared" si="18"/>
        <v>10.214429015284361</v>
      </c>
      <c r="AA13" s="1">
        <f t="shared" si="9"/>
        <v>162.72749815746903</v>
      </c>
      <c r="AB13" s="1">
        <f t="shared" si="19"/>
        <v>7.9093974509518015</v>
      </c>
    </row>
    <row r="14" spans="1:28" x14ac:dyDescent="0.2">
      <c r="D14" t="s">
        <v>17</v>
      </c>
      <c r="I14" s="2">
        <f t="shared" si="0"/>
        <v>1078.7150037719891</v>
      </c>
      <c r="J14" s="1">
        <f t="shared" si="10"/>
        <v>126.87522125731923</v>
      </c>
      <c r="K14" s="1">
        <f t="shared" si="1"/>
        <v>862.97200301759165</v>
      </c>
      <c r="L14" s="1">
        <f t="shared" si="11"/>
        <v>90.784518205341499</v>
      </c>
      <c r="M14" s="1">
        <f t="shared" si="2"/>
        <v>695.94516372386408</v>
      </c>
      <c r="N14" s="1">
        <f t="shared" si="12"/>
        <v>65.747503272683872</v>
      </c>
      <c r="O14" s="1">
        <f t="shared" si="3"/>
        <v>567.74473882736288</v>
      </c>
      <c r="P14" s="1">
        <f t="shared" si="13"/>
        <v>48.444715657704194</v>
      </c>
      <c r="Q14" s="1">
        <f t="shared" si="4"/>
        <v>459.0276611795698</v>
      </c>
      <c r="R14" s="1">
        <f t="shared" si="14"/>
        <v>35.218837702560066</v>
      </c>
      <c r="S14" s="1">
        <f t="shared" si="5"/>
        <v>378.4964925515751</v>
      </c>
      <c r="T14" s="1">
        <f t="shared" si="15"/>
        <v>26.369963132354226</v>
      </c>
      <c r="U14" s="1">
        <f t="shared" si="6"/>
        <v>303.86338134422232</v>
      </c>
      <c r="V14" s="1">
        <f t="shared" si="16"/>
        <v>18.968556523603038</v>
      </c>
      <c r="W14" s="1">
        <f t="shared" si="7"/>
        <v>249.70254716944191</v>
      </c>
      <c r="X14" s="1">
        <f t="shared" si="17"/>
        <v>14.130293816822254</v>
      </c>
      <c r="Y14" s="1">
        <f t="shared" si="8"/>
        <v>197.56685050769036</v>
      </c>
      <c r="Z14" s="1">
        <f t="shared" si="18"/>
        <v>9.944612120277176</v>
      </c>
      <c r="AA14" s="1">
        <f t="shared" si="9"/>
        <v>166.59691177945774</v>
      </c>
      <c r="AB14" s="1">
        <f t="shared" si="19"/>
        <v>7.7004685858727813</v>
      </c>
    </row>
    <row r="15" spans="1:28" x14ac:dyDescent="0.2">
      <c r="I15" s="2">
        <f t="shared" si="0"/>
        <v>1104.3652139521998</v>
      </c>
      <c r="J15" s="1">
        <f t="shared" si="10"/>
        <v>123.83075954360552</v>
      </c>
      <c r="K15" s="1">
        <f t="shared" si="1"/>
        <v>883.49217116176021</v>
      </c>
      <c r="L15" s="1">
        <f t="shared" si="11"/>
        <v>88.606078734378528</v>
      </c>
      <c r="M15" s="1">
        <f t="shared" si="2"/>
        <v>712.49368642077422</v>
      </c>
      <c r="N15" s="1">
        <f t="shared" si="12"/>
        <v>64.169844889097746</v>
      </c>
      <c r="O15" s="1">
        <f t="shared" si="3"/>
        <v>581.24484944852645</v>
      </c>
      <c r="P15" s="1">
        <f t="shared" si="13"/>
        <v>47.282250043141822</v>
      </c>
      <c r="Q15" s="1">
        <f t="shared" si="4"/>
        <v>469.94264423497862</v>
      </c>
      <c r="R15" s="1">
        <f t="shared" si="14"/>
        <v>34.373736492691208</v>
      </c>
      <c r="S15" s="1">
        <f t="shared" si="5"/>
        <v>387.49656629901745</v>
      </c>
      <c r="T15" s="1">
        <f t="shared" si="15"/>
        <v>25.737196999196748</v>
      </c>
      <c r="U15" s="1">
        <f t="shared" si="6"/>
        <v>311.08879266259152</v>
      </c>
      <c r="V15" s="1">
        <f t="shared" si="16"/>
        <v>18.513392437753676</v>
      </c>
      <c r="W15" s="1">
        <f t="shared" si="7"/>
        <v>255.64009582226848</v>
      </c>
      <c r="X15" s="1">
        <f t="shared" si="17"/>
        <v>13.791227306415214</v>
      </c>
      <c r="Y15" s="1">
        <f t="shared" si="8"/>
        <v>202.26469120003665</v>
      </c>
      <c r="Z15" s="1">
        <f t="shared" si="18"/>
        <v>9.7059840370479531</v>
      </c>
      <c r="AA15" s="1">
        <f t="shared" si="9"/>
        <v>170.5583342011119</v>
      </c>
      <c r="AB15" s="1">
        <f t="shared" si="19"/>
        <v>7.5156903324437847</v>
      </c>
    </row>
    <row r="16" spans="1:28" x14ac:dyDescent="0.2">
      <c r="I16" s="2">
        <f t="shared" si="0"/>
        <v>1130.6253473095132</v>
      </c>
      <c r="J16" s="1">
        <f t="shared" si="10"/>
        <v>121.12898969996081</v>
      </c>
      <c r="K16" s="1">
        <f t="shared" si="1"/>
        <v>904.50027784761096</v>
      </c>
      <c r="L16" s="1">
        <f t="shared" si="11"/>
        <v>86.67284960479499</v>
      </c>
      <c r="M16" s="1">
        <f t="shared" si="2"/>
        <v>729.43570794162156</v>
      </c>
      <c r="N16" s="1">
        <f t="shared" si="12"/>
        <v>62.769771495122725</v>
      </c>
      <c r="O16" s="1">
        <f t="shared" si="3"/>
        <v>595.06597226816507</v>
      </c>
      <c r="P16" s="1">
        <f t="shared" si="13"/>
        <v>46.250634330074625</v>
      </c>
      <c r="Q16" s="1">
        <f t="shared" si="4"/>
        <v>481.11716906787797</v>
      </c>
      <c r="R16" s="1">
        <f t="shared" si="14"/>
        <v>33.623761890164111</v>
      </c>
      <c r="S16" s="1">
        <f t="shared" si="5"/>
        <v>396.71064817877652</v>
      </c>
      <c r="T16" s="1">
        <f t="shared" si="15"/>
        <v>25.17565653082962</v>
      </c>
      <c r="U16" s="1">
        <f t="shared" si="6"/>
        <v>318.48601332662349</v>
      </c>
      <c r="V16" s="1">
        <f t="shared" si="16"/>
        <v>18.109462706754403</v>
      </c>
      <c r="W16" s="1">
        <f t="shared" si="7"/>
        <v>261.71883039572066</v>
      </c>
      <c r="X16" s="1">
        <f t="shared" si="17"/>
        <v>13.490326930929735</v>
      </c>
      <c r="Y16" s="1">
        <f t="shared" si="8"/>
        <v>207.07423943397683</v>
      </c>
      <c r="Z16" s="1">
        <f t="shared" si="18"/>
        <v>9.4942164998799452</v>
      </c>
      <c r="AA16" s="1">
        <f t="shared" si="9"/>
        <v>174.61395325243444</v>
      </c>
      <c r="AB16" s="1">
        <f t="shared" si="19"/>
        <v>7.3517111598278033</v>
      </c>
    </row>
    <row r="17" spans="1:35" x14ac:dyDescent="0.2">
      <c r="I17" s="2">
        <f t="shared" si="0"/>
        <v>1157.5099068939767</v>
      </c>
      <c r="J17" s="1">
        <f t="shared" si="10"/>
        <v>118.72523531605074</v>
      </c>
      <c r="K17" s="1">
        <f t="shared" si="1"/>
        <v>926.00792551518168</v>
      </c>
      <c r="L17" s="1">
        <f t="shared" si="11"/>
        <v>84.952862979631433</v>
      </c>
      <c r="M17" s="1">
        <f t="shared" si="2"/>
        <v>746.78058509288826</v>
      </c>
      <c r="N17" s="1">
        <f t="shared" si="12"/>
        <v>61.524131506031942</v>
      </c>
      <c r="O17" s="1">
        <f t="shared" si="3"/>
        <v>609.21574047051422</v>
      </c>
      <c r="P17" s="1">
        <f t="shared" si="13"/>
        <v>45.332809742377464</v>
      </c>
      <c r="Q17" s="1">
        <f t="shared" si="4"/>
        <v>492.55740718892622</v>
      </c>
      <c r="R17" s="1">
        <f t="shared" si="14"/>
        <v>32.956512330440788</v>
      </c>
      <c r="S17" s="1">
        <f t="shared" si="5"/>
        <v>406.14382698034262</v>
      </c>
      <c r="T17" s="1">
        <f t="shared" si="15"/>
        <v>24.676056105665534</v>
      </c>
      <c r="U17" s="1">
        <f t="shared" si="6"/>
        <v>326.05912870252871</v>
      </c>
      <c r="V17" s="1">
        <f t="shared" si="16"/>
        <v>17.750087956915877</v>
      </c>
      <c r="W17" s="1">
        <f t="shared" si="7"/>
        <v>267.9421080773094</v>
      </c>
      <c r="X17" s="1">
        <f t="shared" si="17"/>
        <v>13.222617007971362</v>
      </c>
      <c r="Y17" s="1">
        <f t="shared" si="8"/>
        <v>211.99815144578332</v>
      </c>
      <c r="Z17" s="1">
        <f t="shared" si="18"/>
        <v>9.3058077251522118</v>
      </c>
      <c r="AA17" s="1">
        <f t="shared" si="9"/>
        <v>178.76600878671451</v>
      </c>
      <c r="AB17" s="1">
        <f t="shared" si="19"/>
        <v>7.2058195118131563</v>
      </c>
    </row>
    <row r="18" spans="1:35" x14ac:dyDescent="0.2">
      <c r="I18" s="2">
        <f t="shared" si="0"/>
        <v>1185.0337406162175</v>
      </c>
      <c r="J18" s="1">
        <f t="shared" si="10"/>
        <v>116.58290300781461</v>
      </c>
      <c r="K18" s="1">
        <f t="shared" si="1"/>
        <v>948.02699249297439</v>
      </c>
      <c r="L18" s="1">
        <f t="shared" si="11"/>
        <v>83.419934764716189</v>
      </c>
      <c r="M18" s="1">
        <f t="shared" si="2"/>
        <v>764.53789717175334</v>
      </c>
      <c r="N18" s="1">
        <f t="shared" si="12"/>
        <v>60.413962009962525</v>
      </c>
      <c r="O18" s="1">
        <f t="shared" si="3"/>
        <v>623.70196874537783</v>
      </c>
      <c r="P18" s="1">
        <f t="shared" si="13"/>
        <v>44.514803842657116</v>
      </c>
      <c r="Q18" s="1">
        <f t="shared" si="4"/>
        <v>504.2696768579649</v>
      </c>
      <c r="R18" s="1">
        <f t="shared" si="14"/>
        <v>32.361829987261281</v>
      </c>
      <c r="S18" s="1">
        <f t="shared" si="5"/>
        <v>415.80131249691834</v>
      </c>
      <c r="T18" s="1">
        <f t="shared" si="15"/>
        <v>24.230790092131951</v>
      </c>
      <c r="U18" s="1">
        <f t="shared" si="6"/>
        <v>333.81232130034306</v>
      </c>
      <c r="V18" s="1">
        <f t="shared" si="16"/>
        <v>17.429797272269887</v>
      </c>
      <c r="W18" s="1">
        <f t="shared" si="7"/>
        <v>274.31336588338365</v>
      </c>
      <c r="X18" s="1">
        <f t="shared" si="17"/>
        <v>12.984022074550499</v>
      </c>
      <c r="Y18" s="1">
        <f t="shared" si="8"/>
        <v>217.03914663300691</v>
      </c>
      <c r="Z18" s="1">
        <f t="shared" si="18"/>
        <v>9.1378894852703834</v>
      </c>
      <c r="AA18" s="1">
        <f t="shared" si="9"/>
        <v>183.01679391756252</v>
      </c>
      <c r="AB18" s="1">
        <f t="shared" si="19"/>
        <v>7.0757944172628582</v>
      </c>
    </row>
    <row r="19" spans="1:35" x14ac:dyDescent="0.2">
      <c r="I19" s="2">
        <f t="shared" si="0"/>
        <v>1213.212049447706</v>
      </c>
      <c r="J19" s="1">
        <f t="shared" si="10"/>
        <v>114.67168954452649</v>
      </c>
      <c r="K19" s="1">
        <f t="shared" si="1"/>
        <v>970.56963955816514</v>
      </c>
      <c r="L19" s="1">
        <f t="shared" si="11"/>
        <v>82.052381733220216</v>
      </c>
      <c r="M19" s="1">
        <f t="shared" si="2"/>
        <v>782.71745125658458</v>
      </c>
      <c r="N19" s="1">
        <f t="shared" si="12"/>
        <v>59.423559690367888</v>
      </c>
      <c r="O19" s="1">
        <f t="shared" si="3"/>
        <v>638.53265760405588</v>
      </c>
      <c r="P19" s="1">
        <f t="shared" si="13"/>
        <v>43.785045960285522</v>
      </c>
      <c r="Q19" s="1">
        <f t="shared" si="4"/>
        <v>516.26044657349189</v>
      </c>
      <c r="R19" s="1">
        <f t="shared" si="14"/>
        <v>31.831303095473832</v>
      </c>
      <c r="S19" s="1">
        <f t="shared" si="5"/>
        <v>425.68843840270375</v>
      </c>
      <c r="T19" s="1">
        <f t="shared" si="15"/>
        <v>23.833560214890976</v>
      </c>
      <c r="U19" s="1">
        <f t="shared" si="6"/>
        <v>341.7498730838609</v>
      </c>
      <c r="V19" s="1">
        <f t="shared" si="16"/>
        <v>17.144060150018678</v>
      </c>
      <c r="W19" s="1">
        <f t="shared" si="7"/>
        <v>280.83612255733931</v>
      </c>
      <c r="X19" s="1">
        <f t="shared" si="17"/>
        <v>12.77116721199104</v>
      </c>
      <c r="Y19" s="1">
        <f t="shared" si="8"/>
        <v>222.20000905635644</v>
      </c>
      <c r="Z19" s="1">
        <f t="shared" si="18"/>
        <v>8.9880865814164892</v>
      </c>
      <c r="AA19" s="1">
        <f t="shared" si="9"/>
        <v>187.36865628535995</v>
      </c>
      <c r="AB19" s="1">
        <f t="shared" si="19"/>
        <v>6.9597966748423836</v>
      </c>
    </row>
    <row r="20" spans="1:35" x14ac:dyDescent="0.2">
      <c r="I20" s="2">
        <f t="shared" si="0"/>
        <v>1242.0603958160075</v>
      </c>
      <c r="J20" s="1">
        <f t="shared" si="10"/>
        <v>112.96625290645495</v>
      </c>
      <c r="K20" s="1">
        <f t="shared" si="1"/>
        <v>993.64831665280622</v>
      </c>
      <c r="L20" s="1">
        <f t="shared" si="11"/>
        <v>80.832070611925289</v>
      </c>
      <c r="M20" s="1">
        <f t="shared" si="2"/>
        <v>801.32928762323058</v>
      </c>
      <c r="N20" s="1">
        <f t="shared" si="12"/>
        <v>58.539792160098536</v>
      </c>
      <c r="O20" s="1">
        <f t="shared" si="3"/>
        <v>653.71599779789869</v>
      </c>
      <c r="P20" s="1">
        <f t="shared" si="13"/>
        <v>43.13385976187061</v>
      </c>
      <c r="Q20" s="1">
        <f t="shared" si="4"/>
        <v>528.53633864510948</v>
      </c>
      <c r="R20" s="1">
        <f t="shared" si="14"/>
        <v>31.357897054695968</v>
      </c>
      <c r="S20" s="1">
        <f t="shared" si="5"/>
        <v>435.81066519859894</v>
      </c>
      <c r="T20" s="1">
        <f t="shared" si="15"/>
        <v>23.479099345188903</v>
      </c>
      <c r="U20" s="1">
        <f t="shared" si="6"/>
        <v>349.8761678354951</v>
      </c>
      <c r="V20" s="1">
        <f t="shared" si="16"/>
        <v>16.889087816208331</v>
      </c>
      <c r="W20" s="1">
        <f t="shared" si="7"/>
        <v>287.51398051296462</v>
      </c>
      <c r="X20" s="1">
        <f t="shared" si="17"/>
        <v>12.581230039522586</v>
      </c>
      <c r="Y20" s="1">
        <f t="shared" si="8"/>
        <v>227.48358897729074</v>
      </c>
      <c r="Z20" s="1">
        <f t="shared" si="18"/>
        <v>8.8544126796627847</v>
      </c>
      <c r="AA20" s="1">
        <f t="shared" si="9"/>
        <v>191.82399935382347</v>
      </c>
      <c r="AB20" s="1">
        <f t="shared" si="19"/>
        <v>6.856288195199765</v>
      </c>
    </row>
    <row r="21" spans="1:35" x14ac:dyDescent="0.2">
      <c r="I21" s="2">
        <f t="shared" si="0"/>
        <v>1271.5947121996614</v>
      </c>
      <c r="J21" s="1">
        <f t="shared" si="10"/>
        <v>111.44521170070756</v>
      </c>
      <c r="K21" s="1">
        <f t="shared" si="1"/>
        <v>1017.2757697597293</v>
      </c>
      <c r="L21" s="1">
        <f t="shared" si="11"/>
        <v>79.743702121483906</v>
      </c>
      <c r="M21" s="1">
        <f t="shared" si="2"/>
        <v>820.38368529010404</v>
      </c>
      <c r="N21" s="1">
        <f t="shared" si="12"/>
        <v>57.751579452670491</v>
      </c>
      <c r="O21" s="1">
        <f t="shared" si="3"/>
        <v>669.26037484192705</v>
      </c>
      <c r="P21" s="1">
        <f t="shared" si="13"/>
        <v>42.55308119860301</v>
      </c>
      <c r="Q21" s="1">
        <f t="shared" si="4"/>
        <v>541.10413285091965</v>
      </c>
      <c r="R21" s="1">
        <f t="shared" si="14"/>
        <v>30.935676680747012</v>
      </c>
      <c r="S21" s="1">
        <f t="shared" si="5"/>
        <v>446.17358322795116</v>
      </c>
      <c r="T21" s="1">
        <f t="shared" si="15"/>
        <v>23.162963537732839</v>
      </c>
      <c r="U21" s="1">
        <f t="shared" si="6"/>
        <v>358.19569357736941</v>
      </c>
      <c r="V21" s="1">
        <f t="shared" si="16"/>
        <v>16.661683632790723</v>
      </c>
      <c r="W21" s="1">
        <f t="shared" si="7"/>
        <v>294.35062782399558</v>
      </c>
      <c r="X21" s="1">
        <f t="shared" si="17"/>
        <v>12.411829277642427</v>
      </c>
      <c r="Y21" s="1">
        <f t="shared" si="8"/>
        <v>232.8928044321724</v>
      </c>
      <c r="Z21" s="1">
        <f t="shared" si="18"/>
        <v>8.7351918841424432</v>
      </c>
      <c r="AA21" s="1">
        <f t="shared" si="9"/>
        <v>196.38528373739936</v>
      </c>
      <c r="AB21" s="1">
        <f t="shared" si="19"/>
        <v>6.7639712722686811</v>
      </c>
    </row>
    <row r="22" spans="1:35" x14ac:dyDescent="0.2">
      <c r="I22" s="2">
        <f t="shared" si="0"/>
        <v>1301.8313099274335</v>
      </c>
      <c r="J22" s="1">
        <f t="shared" si="10"/>
        <v>110.09038112184332</v>
      </c>
      <c r="K22" s="1">
        <f t="shared" si="1"/>
        <v>1041.465047941947</v>
      </c>
      <c r="L22" s="1">
        <f t="shared" si="11"/>
        <v>78.774264274336389</v>
      </c>
      <c r="M22" s="1">
        <f t="shared" si="2"/>
        <v>839.89116769511838</v>
      </c>
      <c r="N22" s="1">
        <f t="shared" si="12"/>
        <v>57.049498092456325</v>
      </c>
      <c r="O22" s="1">
        <f t="shared" si="3"/>
        <v>685.17437364601767</v>
      </c>
      <c r="P22" s="1">
        <f t="shared" si="13"/>
        <v>42.035766773398372</v>
      </c>
      <c r="Q22" s="1">
        <f t="shared" si="4"/>
        <v>553.97077018188656</v>
      </c>
      <c r="R22" s="1">
        <f t="shared" si="14"/>
        <v>30.559594118694083</v>
      </c>
      <c r="S22" s="1">
        <f t="shared" si="5"/>
        <v>456.78291576401153</v>
      </c>
      <c r="T22" s="1">
        <f t="shared" si="15"/>
        <v>22.881373231436712</v>
      </c>
      <c r="U22" s="1">
        <f t="shared" si="6"/>
        <v>366.7130450499813</v>
      </c>
      <c r="V22" s="1">
        <f t="shared" si="16"/>
        <v>16.459128869453831</v>
      </c>
      <c r="W22" s="1">
        <f t="shared" si="7"/>
        <v>301.34984026097987</v>
      </c>
      <c r="X22" s="1">
        <f t="shared" si="17"/>
        <v>12.260939655841957</v>
      </c>
      <c r="Y22" s="1">
        <f t="shared" si="8"/>
        <v>238.43064284385227</v>
      </c>
      <c r="Z22" s="1">
        <f t="shared" si="18"/>
        <v>8.6289988508458162</v>
      </c>
      <c r="AA22" s="1">
        <f t="shared" si="9"/>
        <v>201.0550285602213</v>
      </c>
      <c r="AB22" s="1">
        <f t="shared" si="19"/>
        <v>6.6817422112405636</v>
      </c>
    </row>
    <row r="23" spans="1:35" x14ac:dyDescent="0.2">
      <c r="I23" s="2">
        <f t="shared" si="0"/>
        <v>1332.786888186801</v>
      </c>
      <c r="J23" s="1">
        <f t="shared" si="10"/>
        <v>108.88618205301697</v>
      </c>
      <c r="K23" s="1">
        <f t="shared" si="1"/>
        <v>1066.2295105494409</v>
      </c>
      <c r="L23" s="1">
        <f t="shared" si="11"/>
        <v>77.91260956190834</v>
      </c>
      <c r="M23" s="1">
        <f t="shared" si="2"/>
        <v>859.86250850761348</v>
      </c>
      <c r="N23" s="1">
        <f t="shared" si="12"/>
        <v>56.425474887341657</v>
      </c>
      <c r="O23" s="1">
        <f t="shared" si="3"/>
        <v>701.4667832562111</v>
      </c>
      <c r="P23" s="1">
        <f t="shared" si="13"/>
        <v>41.575967918220428</v>
      </c>
      <c r="Q23" s="1">
        <f t="shared" si="4"/>
        <v>567.14335667523437</v>
      </c>
      <c r="R23" s="1">
        <f t="shared" si="14"/>
        <v>30.225324817357805</v>
      </c>
      <c r="S23" s="1">
        <f t="shared" si="5"/>
        <v>467.64452217080714</v>
      </c>
      <c r="T23" s="1">
        <f t="shared" si="15"/>
        <v>22.631090435991862</v>
      </c>
      <c r="U23" s="1">
        <f t="shared" si="6"/>
        <v>375.43292624980313</v>
      </c>
      <c r="V23" s="1">
        <f t="shared" si="16"/>
        <v>16.279094360931659</v>
      </c>
      <c r="W23" s="1">
        <f t="shared" si="7"/>
        <v>308.5154833765742</v>
      </c>
      <c r="X23" s="1">
        <f t="shared" si="17"/>
        <v>12.12682610326773</v>
      </c>
      <c r="Y23" s="1">
        <f t="shared" si="8"/>
        <v>244.10016267157525</v>
      </c>
      <c r="Z23" s="1">
        <f t="shared" si="18"/>
        <v>8.5346124723520234</v>
      </c>
      <c r="AA23" s="1">
        <f t="shared" si="9"/>
        <v>205.8358128473823</v>
      </c>
      <c r="AB23" s="1">
        <f t="shared" si="19"/>
        <v>6.6086554649969607</v>
      </c>
    </row>
    <row r="24" spans="1:35" x14ac:dyDescent="0.2">
      <c r="I24" s="2">
        <f t="shared" si="0"/>
        <v>1364.4785432466451</v>
      </c>
      <c r="J24" s="1">
        <f t="shared" si="10"/>
        <v>107.81917874292911</v>
      </c>
      <c r="K24" s="1">
        <f t="shared" si="1"/>
        <v>1091.5828345973162</v>
      </c>
      <c r="L24" s="1">
        <f t="shared" si="11"/>
        <v>77.149124143164798</v>
      </c>
      <c r="M24" s="1">
        <f t="shared" si="2"/>
        <v>880.30873757848076</v>
      </c>
      <c r="N24" s="1">
        <f t="shared" si="12"/>
        <v>55.872547350138142</v>
      </c>
      <c r="O24" s="1">
        <f t="shared" si="3"/>
        <v>718.14660170876073</v>
      </c>
      <c r="P24" s="1">
        <f t="shared" si="13"/>
        <v>41.168554465453319</v>
      </c>
      <c r="Q24" s="1">
        <f t="shared" si="4"/>
        <v>580.62916733899783</v>
      </c>
      <c r="R24" s="1">
        <f t="shared" si="14"/>
        <v>29.929139194714725</v>
      </c>
      <c r="S24" s="1">
        <f t="shared" si="5"/>
        <v>478.76440113917351</v>
      </c>
      <c r="T24" s="1">
        <f t="shared" si="15"/>
        <v>22.409322641852999</v>
      </c>
      <c r="U24" s="1">
        <f t="shared" si="6"/>
        <v>384.36015302722404</v>
      </c>
      <c r="V24" s="1">
        <f t="shared" si="16"/>
        <v>16.119571387117698</v>
      </c>
      <c r="W24" s="1">
        <f t="shared" si="7"/>
        <v>315.85151464042701</v>
      </c>
      <c r="X24" s="1">
        <f t="shared" si="17"/>
        <v>12.007992259073013</v>
      </c>
      <c r="Y24" s="1">
        <f t="shared" si="8"/>
        <v>249.90449510011814</v>
      </c>
      <c r="Z24" s="1">
        <f t="shared" si="18"/>
        <v>8.4509796404663184</v>
      </c>
      <c r="AA24" s="1">
        <f t="shared" si="9"/>
        <v>210.73027694928874</v>
      </c>
      <c r="AB24" s="1">
        <f t="shared" si="19"/>
        <v>6.5438955742245195</v>
      </c>
    </row>
    <row r="25" spans="1:35" x14ac:dyDescent="0.2">
      <c r="I25" s="2">
        <f t="shared" si="0"/>
        <v>1396.9237778992467</v>
      </c>
      <c r="J25" s="1">
        <f t="shared" si="10"/>
        <v>106.87771322963124</v>
      </c>
      <c r="K25" s="1">
        <f t="shared" si="1"/>
        <v>1117.5390223193974</v>
      </c>
      <c r="L25" s="1">
        <f t="shared" si="11"/>
        <v>76.475466259578937</v>
      </c>
      <c r="M25" s="1">
        <f t="shared" si="2"/>
        <v>901.24114703177213</v>
      </c>
      <c r="N25" s="1">
        <f t="shared" si="12"/>
        <v>55.384674254798782</v>
      </c>
      <c r="O25" s="1">
        <f t="shared" si="3"/>
        <v>735.22304099960365</v>
      </c>
      <c r="P25" s="1">
        <f t="shared" si="13"/>
        <v>40.809075060087387</v>
      </c>
      <c r="Q25" s="1">
        <f t="shared" si="4"/>
        <v>594.43565016989214</v>
      </c>
      <c r="R25" s="1">
        <f t="shared" si="14"/>
        <v>29.667801158912212</v>
      </c>
      <c r="S25" s="1">
        <f t="shared" si="5"/>
        <v>490.14869399973549</v>
      </c>
      <c r="T25" s="1">
        <f t="shared" si="15"/>
        <v>22.213646838256185</v>
      </c>
      <c r="U25" s="1">
        <f t="shared" si="6"/>
        <v>393.49965574626674</v>
      </c>
      <c r="V25" s="1">
        <f t="shared" si="16"/>
        <v>15.978817017375194</v>
      </c>
      <c r="W25" s="1">
        <f t="shared" si="7"/>
        <v>323.36198562482554</v>
      </c>
      <c r="X25" s="1">
        <f t="shared" si="17"/>
        <v>11.903139757619448</v>
      </c>
      <c r="Y25" s="1">
        <f t="shared" si="8"/>
        <v>255.84684576909279</v>
      </c>
      <c r="Z25" s="1">
        <f t="shared" si="18"/>
        <v>8.3771865919767556</v>
      </c>
      <c r="AA25" s="1">
        <f t="shared" si="9"/>
        <v>215.74112399988357</v>
      </c>
      <c r="AB25" s="1">
        <f t="shared" si="19"/>
        <v>6.486754979410267</v>
      </c>
    </row>
    <row r="26" spans="1:35" x14ac:dyDescent="0.2">
      <c r="I26" s="2">
        <f t="shared" si="0"/>
        <v>1430.1405111267966</v>
      </c>
      <c r="J26" s="1">
        <f t="shared" si="10"/>
        <v>106.05161344360093</v>
      </c>
      <c r="K26" s="1">
        <f t="shared" si="1"/>
        <v>1144.1124089014374</v>
      </c>
      <c r="L26" s="1">
        <f t="shared" si="11"/>
        <v>75.884357370695156</v>
      </c>
      <c r="M26" s="1">
        <f t="shared" si="2"/>
        <v>922.67129750115919</v>
      </c>
      <c r="N26" s="1">
        <f t="shared" si="12"/>
        <v>54.956584373675085</v>
      </c>
      <c r="O26" s="1">
        <f t="shared" si="3"/>
        <v>752.70553217199836</v>
      </c>
      <c r="P26" s="1">
        <f t="shared" si="13"/>
        <v>40.493645704831636</v>
      </c>
      <c r="Q26" s="1">
        <f t="shared" si="4"/>
        <v>608.57043026672193</v>
      </c>
      <c r="R26" s="1">
        <f t="shared" si="14"/>
        <v>29.43848708164796</v>
      </c>
      <c r="S26" s="1">
        <f t="shared" si="5"/>
        <v>501.80368811466525</v>
      </c>
      <c r="T26" s="1">
        <f t="shared" si="15"/>
        <v>22.041948844862485</v>
      </c>
      <c r="U26" s="1">
        <f t="shared" si="6"/>
        <v>402.85648200754838</v>
      </c>
      <c r="V26" s="1">
        <f t="shared" si="16"/>
        <v>15.855310470311359</v>
      </c>
      <c r="W26" s="1">
        <f t="shared" si="7"/>
        <v>331.05104424231394</v>
      </c>
      <c r="X26" s="1">
        <f t="shared" si="17"/>
        <v>11.811135719455468</v>
      </c>
      <c r="Y26" s="1">
        <f t="shared" si="8"/>
        <v>261.93049654336932</v>
      </c>
      <c r="Z26" s="1">
        <f t="shared" si="18"/>
        <v>8.3124360294689392</v>
      </c>
      <c r="AA26" s="1">
        <f t="shared" si="9"/>
        <v>220.87112140954378</v>
      </c>
      <c r="AB26" s="1">
        <f t="shared" si="19"/>
        <v>6.4366163046707703</v>
      </c>
    </row>
    <row r="27" spans="1:35" x14ac:dyDescent="0.2">
      <c r="AE27" t="s">
        <v>314</v>
      </c>
    </row>
    <row r="28" spans="1:35" x14ac:dyDescent="0.2">
      <c r="AE28" s="14" t="s">
        <v>315</v>
      </c>
      <c r="AF28" s="27" t="s">
        <v>0</v>
      </c>
      <c r="AG28" s="27" t="s">
        <v>1</v>
      </c>
      <c r="AH28" s="27" t="s">
        <v>1</v>
      </c>
      <c r="AI28" s="14" t="s">
        <v>302</v>
      </c>
    </row>
    <row r="29" spans="1:35" x14ac:dyDescent="0.2">
      <c r="AF29" s="45" t="s">
        <v>2</v>
      </c>
      <c r="AG29" s="45" t="s">
        <v>2</v>
      </c>
      <c r="AH29" s="45" t="s">
        <v>303</v>
      </c>
    </row>
    <row r="30" spans="1:35" x14ac:dyDescent="0.2">
      <c r="I30" t="s">
        <v>4</v>
      </c>
      <c r="J30" t="s">
        <v>6</v>
      </c>
      <c r="K30" t="s">
        <v>7</v>
      </c>
      <c r="L30" t="s">
        <v>10</v>
      </c>
      <c r="M30" t="s">
        <v>14</v>
      </c>
      <c r="N30" t="s">
        <v>14</v>
      </c>
      <c r="P30" t="s">
        <v>18</v>
      </c>
      <c r="AE30" t="s">
        <v>458</v>
      </c>
      <c r="AF30">
        <v>5.1181102362204732E-3</v>
      </c>
      <c r="AG30">
        <v>2.5590551181102366E-3</v>
      </c>
      <c r="AH30">
        <f t="shared" ref="AH30:AH77" si="20">AG30*25.4</f>
        <v>6.5000000000000002E-2</v>
      </c>
      <c r="AI30">
        <f t="shared" ref="AI30:AI77" si="21">AF30/AG30</f>
        <v>2</v>
      </c>
    </row>
    <row r="31" spans="1:35" x14ac:dyDescent="0.2">
      <c r="A31" t="s">
        <v>462</v>
      </c>
      <c r="B31" t="str">
        <f>I4</f>
        <v>WR0.8</v>
      </c>
      <c r="I31" t="s">
        <v>5</v>
      </c>
      <c r="J31" t="s">
        <v>11</v>
      </c>
      <c r="K31" t="s">
        <v>308</v>
      </c>
      <c r="L31" t="s">
        <v>309</v>
      </c>
      <c r="M31" t="s">
        <v>20</v>
      </c>
      <c r="N31" t="s">
        <v>16</v>
      </c>
      <c r="O31" t="s">
        <v>17</v>
      </c>
      <c r="P31" t="s">
        <v>307</v>
      </c>
      <c r="AE31" t="s">
        <v>457</v>
      </c>
      <c r="AF31">
        <v>6.456692913385827E-3</v>
      </c>
      <c r="AG31">
        <v>3.2283464566929135E-3</v>
      </c>
      <c r="AH31">
        <f t="shared" si="20"/>
        <v>8.2000000000000003E-2</v>
      </c>
      <c r="AI31">
        <f t="shared" si="21"/>
        <v>2</v>
      </c>
    </row>
    <row r="32" spans="1:35" x14ac:dyDescent="0.2">
      <c r="A32" t="s">
        <v>0</v>
      </c>
      <c r="B32">
        <f>LOOKUP(I4,AE$30:AE$77,AF$30:AF$77)</f>
        <v>7.874015748031496E-3</v>
      </c>
      <c r="C32" t="s">
        <v>2</v>
      </c>
      <c r="D32">
        <f>B32*25.4</f>
        <v>0.19999999999999998</v>
      </c>
      <c r="E32" t="s">
        <v>303</v>
      </c>
      <c r="F32">
        <f>D32/1000</f>
        <v>1.9999999999999998E-4</v>
      </c>
      <c r="G32" t="s">
        <v>304</v>
      </c>
      <c r="I32" s="2">
        <f>B36*B$5</f>
        <v>936.8514311241081</v>
      </c>
      <c r="J32" s="1">
        <f>2*PI()*I32*1000000000/B$8</f>
        <v>19634.954084936206</v>
      </c>
      <c r="K32">
        <f t="shared" ref="K32:K52" si="22">(2*PI()*I32*1000000000*B$9*B$39/(2*B$38))^0.5</f>
        <v>0.24875006397612526</v>
      </c>
      <c r="L32">
        <f t="shared" ref="L32:L50" si="23">(J32^2-B$34^2)^0.5</f>
        <v>11780.972450961719</v>
      </c>
      <c r="M32" s="1">
        <f t="shared" ref="M32:M52" si="24">K32/(F$32^3*F$33*L32*J32*B$11)*(2*F$33*PI()^2+F$32^3*J32^2)</f>
        <v>18.047839988727215</v>
      </c>
      <c r="N32" s="1">
        <f t="shared" ref="N32:N52" si="25">M32*8.686</f>
        <v>156.7635381420846</v>
      </c>
      <c r="O32" s="1">
        <f t="shared" ref="O32:O52" si="26">N32/100</f>
        <v>1.5676353814208459</v>
      </c>
      <c r="P32" s="1">
        <f t="shared" ref="P32:P52" si="27">J32*B$11/L32</f>
        <v>627.8838556852445</v>
      </c>
      <c r="AE32" t="s">
        <v>456</v>
      </c>
      <c r="AF32">
        <v>7.874015748031496E-3</v>
      </c>
      <c r="AG32">
        <v>3.937007874015748E-3</v>
      </c>
      <c r="AH32">
        <f t="shared" si="20"/>
        <v>9.9999999999999992E-2</v>
      </c>
      <c r="AI32">
        <f t="shared" si="21"/>
        <v>2</v>
      </c>
    </row>
    <row r="33" spans="1:35" x14ac:dyDescent="0.2">
      <c r="A33" t="s">
        <v>1</v>
      </c>
      <c r="B33">
        <f>LOOKUP(I4,AE$30:AE$77,AG$30:AG$77)</f>
        <v>3.937007874015748E-3</v>
      </c>
      <c r="C33" t="s">
        <v>2</v>
      </c>
      <c r="D33">
        <f>B33*25.4</f>
        <v>9.9999999999999992E-2</v>
      </c>
      <c r="E33" t="s">
        <v>303</v>
      </c>
      <c r="F33">
        <f>D33/1000</f>
        <v>9.9999999999999991E-5</v>
      </c>
      <c r="G33" t="s">
        <v>304</v>
      </c>
      <c r="I33">
        <f>I32*B$7</f>
        <v>959.12834025389338</v>
      </c>
      <c r="J33" s="1">
        <f t="shared" ref="J33:J52" si="28">2*PI()*I33*1000000000/B$8</f>
        <v>20101.84357604025</v>
      </c>
      <c r="K33">
        <f t="shared" si="22"/>
        <v>0.25169013904500959</v>
      </c>
      <c r="L33">
        <f t="shared" si="23"/>
        <v>12543.683873900707</v>
      </c>
      <c r="M33" s="1">
        <f t="shared" si="24"/>
        <v>17.244013502516488</v>
      </c>
      <c r="N33" s="1">
        <f t="shared" si="25"/>
        <v>149.78150128285822</v>
      </c>
      <c r="O33" s="1">
        <f t="shared" si="26"/>
        <v>1.4978150128285821</v>
      </c>
      <c r="P33" s="1">
        <f t="shared" si="27"/>
        <v>603.72805203584267</v>
      </c>
      <c r="AE33" t="s">
        <v>455</v>
      </c>
      <c r="AF33">
        <v>9.8425196850393699E-3</v>
      </c>
      <c r="AG33">
        <v>4.921259842519685E-3</v>
      </c>
      <c r="AH33">
        <f t="shared" si="20"/>
        <v>0.12499999999999999</v>
      </c>
      <c r="AI33">
        <f t="shared" si="21"/>
        <v>2</v>
      </c>
    </row>
    <row r="34" spans="1:35" x14ac:dyDescent="0.2">
      <c r="A34" t="s">
        <v>9</v>
      </c>
      <c r="B34">
        <f>PI()/F32</f>
        <v>15707.963267948968</v>
      </c>
      <c r="C34" t="s">
        <v>305</v>
      </c>
      <c r="I34">
        <f t="shared" ref="I34:I52" si="29">I33*B$7</f>
        <v>981.93496056721312</v>
      </c>
      <c r="J34" s="1">
        <f t="shared" si="28"/>
        <v>20579.834992616616</v>
      </c>
      <c r="K34">
        <f t="shared" si="22"/>
        <v>0.25466496402017541</v>
      </c>
      <c r="L34">
        <f t="shared" si="23"/>
        <v>13296.221203638775</v>
      </c>
      <c r="M34" s="1">
        <f t="shared" si="24"/>
        <v>16.558390198403032</v>
      </c>
      <c r="N34" s="1">
        <f t="shared" si="25"/>
        <v>143.82617726332873</v>
      </c>
      <c r="O34" s="1">
        <f t="shared" si="26"/>
        <v>1.4382617726332874</v>
      </c>
      <c r="P34" s="1">
        <f t="shared" si="27"/>
        <v>583.10158713337</v>
      </c>
      <c r="AE34" t="s">
        <v>454</v>
      </c>
      <c r="AF34">
        <v>1.220472440944882E-2</v>
      </c>
      <c r="AG34">
        <v>6.1023622047244102E-3</v>
      </c>
      <c r="AH34">
        <f t="shared" si="20"/>
        <v>0.155</v>
      </c>
      <c r="AI34">
        <f t="shared" si="21"/>
        <v>2</v>
      </c>
    </row>
    <row r="35" spans="1:35" x14ac:dyDescent="0.2">
      <c r="A35" t="s">
        <v>306</v>
      </c>
      <c r="B35">
        <f>2*PI()/B34</f>
        <v>3.9999999999999996E-4</v>
      </c>
      <c r="C35" t="s">
        <v>304</v>
      </c>
      <c r="I35">
        <f t="shared" si="29"/>
        <v>1005.2838877943065</v>
      </c>
      <c r="J35" s="1">
        <f t="shared" si="28"/>
        <v>21069.192321650527</v>
      </c>
      <c r="K35">
        <f t="shared" si="22"/>
        <v>0.25767494962446413</v>
      </c>
      <c r="L35">
        <f t="shared" si="23"/>
        <v>14041.750427189038</v>
      </c>
      <c r="M35" s="1">
        <f t="shared" si="24"/>
        <v>15.967286762687081</v>
      </c>
      <c r="N35" s="1">
        <f t="shared" si="25"/>
        <v>138.69185282069998</v>
      </c>
      <c r="O35" s="1">
        <f t="shared" si="26"/>
        <v>1.3869185282069998</v>
      </c>
      <c r="P35" s="1">
        <f t="shared" si="27"/>
        <v>565.27164955773128</v>
      </c>
      <c r="AE35" t="s">
        <v>453</v>
      </c>
      <c r="AF35">
        <v>1.4960629921259842E-2</v>
      </c>
      <c r="AG35">
        <v>7.4803149606299212E-3</v>
      </c>
      <c r="AH35">
        <f t="shared" si="20"/>
        <v>0.18999999999999997</v>
      </c>
      <c r="AI35">
        <f t="shared" si="21"/>
        <v>2</v>
      </c>
    </row>
    <row r="36" spans="1:35" x14ac:dyDescent="0.2">
      <c r="A36" t="s">
        <v>8</v>
      </c>
      <c r="B36" s="2">
        <f>B$8/B35/1000000000</f>
        <v>749.48114489928651</v>
      </c>
      <c r="C36" t="s">
        <v>35</v>
      </c>
      <c r="I36">
        <f t="shared" si="29"/>
        <v>1029.1880171728144</v>
      </c>
      <c r="J36" s="1">
        <f t="shared" si="28"/>
        <v>21570.185827338199</v>
      </c>
      <c r="K36">
        <f t="shared" si="22"/>
        <v>0.26072051143521258</v>
      </c>
      <c r="L36">
        <f t="shared" si="23"/>
        <v>14782.855157197058</v>
      </c>
      <c r="M36" s="1">
        <f t="shared" si="24"/>
        <v>15.453268964782465</v>
      </c>
      <c r="N36" s="1">
        <f t="shared" si="25"/>
        <v>134.2270942281005</v>
      </c>
      <c r="O36" s="1">
        <f t="shared" si="26"/>
        <v>1.3422709422810051</v>
      </c>
      <c r="P36" s="1">
        <f t="shared" si="27"/>
        <v>549.70049971121875</v>
      </c>
      <c r="AE36" t="s">
        <v>452</v>
      </c>
      <c r="AF36">
        <v>1.8503937007874019E-2</v>
      </c>
      <c r="AG36">
        <v>9.2519685039370095E-3</v>
      </c>
      <c r="AH36">
        <f t="shared" si="20"/>
        <v>0.23500000000000001</v>
      </c>
      <c r="AI36">
        <f t="shared" si="21"/>
        <v>2</v>
      </c>
    </row>
    <row r="37" spans="1:35" x14ac:dyDescent="0.2">
      <c r="A37" t="s">
        <v>418</v>
      </c>
      <c r="B37" t="str">
        <f>I5</f>
        <v>Copper</v>
      </c>
      <c r="I37">
        <f t="shared" si="29"/>
        <v>1053.6605505696123</v>
      </c>
      <c r="J37" s="1">
        <f t="shared" si="28"/>
        <v>22083.092200349376</v>
      </c>
      <c r="K37">
        <f t="shared" si="22"/>
        <v>0.26380206994162975</v>
      </c>
      <c r="L37">
        <f t="shared" si="23"/>
        <v>15521.68969867319</v>
      </c>
      <c r="M37" s="1">
        <f t="shared" si="24"/>
        <v>15.003177027927963</v>
      </c>
      <c r="N37" s="1">
        <f t="shared" si="25"/>
        <v>130.31759566458229</v>
      </c>
      <c r="O37" s="1">
        <f t="shared" si="26"/>
        <v>1.3031759566458228</v>
      </c>
      <c r="P37" s="1">
        <f t="shared" si="27"/>
        <v>535.98354349501096</v>
      </c>
      <c r="AE37" s="17" t="s">
        <v>3</v>
      </c>
      <c r="AF37">
        <v>0.1</v>
      </c>
      <c r="AG37">
        <v>0.05</v>
      </c>
      <c r="AH37">
        <f t="shared" si="20"/>
        <v>1.27</v>
      </c>
      <c r="AI37">
        <f t="shared" si="21"/>
        <v>2</v>
      </c>
    </row>
    <row r="38" spans="1:35" x14ac:dyDescent="0.2">
      <c r="A38" t="s">
        <v>12</v>
      </c>
      <c r="B38" s="40">
        <f>LOOKUP(I5,$AC$85:$AC$115,$AH$85:$AH$115)</f>
        <v>59772863.120143451</v>
      </c>
      <c r="C38" t="s">
        <v>310</v>
      </c>
      <c r="I38">
        <f t="shared" si="29"/>
        <v>1078.7150037719891</v>
      </c>
      <c r="J38" s="1">
        <f t="shared" si="28"/>
        <v>22608.194710639167</v>
      </c>
      <c r="K38">
        <f t="shared" si="22"/>
        <v>0.2669200506028524</v>
      </c>
      <c r="L38">
        <f t="shared" si="23"/>
        <v>16260.084810570293</v>
      </c>
      <c r="M38" s="1">
        <f t="shared" si="24"/>
        <v>14.606864063702421</v>
      </c>
      <c r="N38" s="1">
        <f t="shared" si="25"/>
        <v>126.87522125731923</v>
      </c>
      <c r="O38" s="1">
        <f t="shared" si="26"/>
        <v>1.2687522125731923</v>
      </c>
      <c r="P38" s="1">
        <f t="shared" si="27"/>
        <v>523.80983114322351</v>
      </c>
      <c r="AE38" s="17" t="s">
        <v>170</v>
      </c>
      <c r="AF38">
        <v>1.1220000000000001</v>
      </c>
      <c r="AG38">
        <v>0.497</v>
      </c>
      <c r="AH38">
        <f t="shared" si="20"/>
        <v>12.623799999999999</v>
      </c>
      <c r="AI38">
        <f t="shared" si="21"/>
        <v>2.257545271629779</v>
      </c>
    </row>
    <row r="39" spans="1:35" x14ac:dyDescent="0.2">
      <c r="A39" s="45" t="s">
        <v>434</v>
      </c>
      <c r="B39">
        <f>LOOKUP(I5,$AC$85:$AC$115,$AI$85:$AI$115)</f>
        <v>1</v>
      </c>
      <c r="I39">
        <f t="shared" si="29"/>
        <v>1104.3652139521998</v>
      </c>
      <c r="J39" s="1">
        <f t="shared" si="28"/>
        <v>23145.783363893497</v>
      </c>
      <c r="K39">
        <f t="shared" si="22"/>
        <v>0.27007488390668671</v>
      </c>
      <c r="L39">
        <f t="shared" si="23"/>
        <v>16999.622863494795</v>
      </c>
      <c r="M39" s="1">
        <f t="shared" si="24"/>
        <v>14.256361909233885</v>
      </c>
      <c r="N39" s="1">
        <f t="shared" si="25"/>
        <v>123.83075954360552</v>
      </c>
      <c r="O39" s="1">
        <f t="shared" si="26"/>
        <v>1.2383075954360552</v>
      </c>
      <c r="P39" s="1">
        <f t="shared" si="27"/>
        <v>512.93598045348006</v>
      </c>
      <c r="AE39" s="17" t="s">
        <v>74</v>
      </c>
      <c r="AF39">
        <v>11.5</v>
      </c>
      <c r="AG39">
        <v>5.75</v>
      </c>
      <c r="AH39">
        <f t="shared" si="20"/>
        <v>146.04999999999998</v>
      </c>
      <c r="AI39">
        <f t="shared" si="21"/>
        <v>2</v>
      </c>
    </row>
    <row r="40" spans="1:35" x14ac:dyDescent="0.2">
      <c r="I40">
        <f t="shared" si="29"/>
        <v>1130.6253473095132</v>
      </c>
      <c r="J40" s="1">
        <f t="shared" si="28"/>
        <v>23696.155061694579</v>
      </c>
      <c r="K40">
        <f t="shared" si="22"/>
        <v>0.27326700542904375</v>
      </c>
      <c r="L40">
        <f t="shared" si="23"/>
        <v>17741.692553999452</v>
      </c>
      <c r="M40" s="1">
        <f t="shared" si="24"/>
        <v>13.945313113050981</v>
      </c>
      <c r="N40" s="1">
        <f t="shared" si="25"/>
        <v>121.12898969996081</v>
      </c>
      <c r="O40" s="1">
        <f t="shared" si="26"/>
        <v>1.2112898969996082</v>
      </c>
      <c r="P40" s="1">
        <f t="shared" si="27"/>
        <v>503.16844888730338</v>
      </c>
      <c r="AE40" s="17" t="s">
        <v>25</v>
      </c>
      <c r="AF40">
        <v>0.122</v>
      </c>
      <c r="AG40">
        <v>6.0999999999999999E-2</v>
      </c>
      <c r="AH40">
        <f t="shared" si="20"/>
        <v>1.5493999999999999</v>
      </c>
      <c r="AI40">
        <f t="shared" si="21"/>
        <v>2</v>
      </c>
    </row>
    <row r="41" spans="1:35" x14ac:dyDescent="0.2">
      <c r="B41" s="45"/>
      <c r="I41">
        <f t="shared" si="29"/>
        <v>1157.5099068939767</v>
      </c>
      <c r="J41" s="1">
        <f t="shared" si="28"/>
        <v>24259.613765494909</v>
      </c>
      <c r="K41">
        <f t="shared" si="22"/>
        <v>0.27649685589407813</v>
      </c>
      <c r="L41">
        <f t="shared" si="23"/>
        <v>18487.52958141666</v>
      </c>
      <c r="M41" s="1">
        <f t="shared" si="24"/>
        <v>13.668574178684175</v>
      </c>
      <c r="N41" s="1">
        <f t="shared" si="25"/>
        <v>118.72523531605074</v>
      </c>
      <c r="O41" s="1">
        <f t="shared" si="26"/>
        <v>1.1872523531605075</v>
      </c>
      <c r="P41" s="1">
        <f t="shared" si="27"/>
        <v>494.35117098040826</v>
      </c>
      <c r="AE41" s="17" t="s">
        <v>159</v>
      </c>
      <c r="AF41">
        <v>1.3720000000000001</v>
      </c>
      <c r="AG41">
        <v>0.622</v>
      </c>
      <c r="AH41">
        <f t="shared" si="20"/>
        <v>15.798799999999998</v>
      </c>
      <c r="AI41">
        <f t="shared" si="21"/>
        <v>2.2057877813504825</v>
      </c>
    </row>
    <row r="42" spans="1:35" x14ac:dyDescent="0.2">
      <c r="I42">
        <f t="shared" si="29"/>
        <v>1185.0337406162175</v>
      </c>
      <c r="J42" s="1">
        <f t="shared" si="28"/>
        <v>24836.470664490265</v>
      </c>
      <c r="K42">
        <f t="shared" si="22"/>
        <v>0.2797648812350369</v>
      </c>
      <c r="L42">
        <f t="shared" si="23"/>
        <v>19238.247452427975</v>
      </c>
      <c r="M42" s="1">
        <f t="shared" si="24"/>
        <v>13.42193219063028</v>
      </c>
      <c r="N42" s="1">
        <f t="shared" si="25"/>
        <v>116.58290300781461</v>
      </c>
      <c r="O42" s="1">
        <f t="shared" si="26"/>
        <v>1.165829030078146</v>
      </c>
      <c r="P42" s="1">
        <f t="shared" si="27"/>
        <v>486.3567432842903</v>
      </c>
      <c r="AE42" s="17" t="s">
        <v>24</v>
      </c>
      <c r="AF42">
        <v>0.14799999999999999</v>
      </c>
      <c r="AG42">
        <v>7.3999999999999996E-2</v>
      </c>
      <c r="AH42">
        <f t="shared" si="20"/>
        <v>1.8795999999999997</v>
      </c>
      <c r="AI42">
        <f t="shared" si="21"/>
        <v>2</v>
      </c>
    </row>
    <row r="43" spans="1:35" x14ac:dyDescent="0.2">
      <c r="I43">
        <f t="shared" si="29"/>
        <v>1213.212049447706</v>
      </c>
      <c r="J43" s="1">
        <f t="shared" si="28"/>
        <v>25427.044347484545</v>
      </c>
      <c r="K43">
        <f t="shared" si="22"/>
        <v>0.28307153265582791</v>
      </c>
      <c r="L43">
        <f t="shared" si="23"/>
        <v>19994.861195359965</v>
      </c>
      <c r="M43" s="1">
        <f t="shared" si="24"/>
        <v>13.201898404849929</v>
      </c>
      <c r="N43" s="1">
        <f t="shared" si="25"/>
        <v>114.67168954452649</v>
      </c>
      <c r="O43" s="1">
        <f t="shared" si="26"/>
        <v>1.1467168954452649</v>
      </c>
      <c r="P43" s="1">
        <f t="shared" si="27"/>
        <v>479.08001423735436</v>
      </c>
      <c r="AE43" s="17" t="s">
        <v>68</v>
      </c>
      <c r="AF43">
        <v>15</v>
      </c>
      <c r="AG43">
        <v>7.5</v>
      </c>
      <c r="AH43">
        <f t="shared" si="20"/>
        <v>190.5</v>
      </c>
      <c r="AI43">
        <f t="shared" si="21"/>
        <v>2</v>
      </c>
    </row>
    <row r="44" spans="1:35" x14ac:dyDescent="0.2">
      <c r="I44">
        <f t="shared" si="29"/>
        <v>1242.0603958160075</v>
      </c>
      <c r="J44" s="1">
        <f t="shared" si="28"/>
        <v>26031.660978841221</v>
      </c>
      <c r="K44">
        <f t="shared" si="22"/>
        <v>0.28641726669331607</v>
      </c>
      <c r="L44">
        <f t="shared" si="23"/>
        <v>20758.305886803253</v>
      </c>
      <c r="M44" s="1">
        <f t="shared" si="24"/>
        <v>13.005555250570453</v>
      </c>
      <c r="N44" s="1">
        <f t="shared" si="25"/>
        <v>112.96625290645495</v>
      </c>
      <c r="O44" s="1">
        <f t="shared" si="26"/>
        <v>1.1296625290645494</v>
      </c>
      <c r="P44" s="1">
        <f t="shared" si="27"/>
        <v>472.43334078654993</v>
      </c>
      <c r="AE44" s="17" t="s">
        <v>153</v>
      </c>
      <c r="AF44">
        <v>1.59</v>
      </c>
      <c r="AG44">
        <v>0.79500000000000004</v>
      </c>
      <c r="AH44">
        <f t="shared" si="20"/>
        <v>20.193000000000001</v>
      </c>
      <c r="AI44">
        <f t="shared" si="21"/>
        <v>2</v>
      </c>
    </row>
    <row r="45" spans="1:35" x14ac:dyDescent="0.2">
      <c r="I45">
        <f t="shared" si="29"/>
        <v>1271.5947121996614</v>
      </c>
      <c r="J45" s="1">
        <f t="shared" si="28"/>
        <v>26650.654478618671</v>
      </c>
      <c r="K45">
        <f t="shared" si="22"/>
        <v>0.28980254528035537</v>
      </c>
      <c r="L45">
        <f t="shared" si="23"/>
        <v>21529.451319331929</v>
      </c>
      <c r="M45" s="1">
        <f t="shared" si="24"/>
        <v>12.830441135241488</v>
      </c>
      <c r="N45" s="1">
        <f t="shared" si="25"/>
        <v>111.44521170070756</v>
      </c>
      <c r="O45" s="1">
        <f t="shared" si="26"/>
        <v>1.1144521170070756</v>
      </c>
      <c r="P45" s="1">
        <f t="shared" si="27"/>
        <v>466.34302311860949</v>
      </c>
      <c r="AE45" s="17" t="s">
        <v>62</v>
      </c>
      <c r="AF45">
        <v>18</v>
      </c>
      <c r="AG45">
        <v>9</v>
      </c>
      <c r="AH45">
        <f t="shared" si="20"/>
        <v>228.6</v>
      </c>
      <c r="AI45">
        <f t="shared" si="21"/>
        <v>2</v>
      </c>
    </row>
    <row r="46" spans="1:35" x14ac:dyDescent="0.2">
      <c r="I46">
        <f t="shared" si="29"/>
        <v>1301.8313099274335</v>
      </c>
      <c r="J46" s="1">
        <f t="shared" si="28"/>
        <v>27284.366706988894</v>
      </c>
      <c r="K46">
        <f t="shared" si="22"/>
        <v>0.29322783580956613</v>
      </c>
      <c r="L46">
        <f t="shared" si="23"/>
        <v>22309.113755911731</v>
      </c>
      <c r="M46" s="1">
        <f t="shared" si="24"/>
        <v>12.67446248236741</v>
      </c>
      <c r="N46" s="1">
        <f t="shared" si="25"/>
        <v>110.09038112184332</v>
      </c>
      <c r="O46" s="1">
        <f t="shared" si="26"/>
        <v>1.1009038112184333</v>
      </c>
      <c r="P46" s="1">
        <f t="shared" si="27"/>
        <v>460.74658694251218</v>
      </c>
      <c r="AE46" s="17" t="s">
        <v>142</v>
      </c>
      <c r="AF46">
        <v>1.8720000000000001</v>
      </c>
      <c r="AG46">
        <v>0.872</v>
      </c>
      <c r="AH46">
        <f t="shared" si="20"/>
        <v>22.148799999999998</v>
      </c>
      <c r="AI46">
        <f t="shared" si="21"/>
        <v>2.1467889908256881</v>
      </c>
    </row>
    <row r="47" spans="1:35" x14ac:dyDescent="0.2">
      <c r="I47">
        <f t="shared" si="29"/>
        <v>1332.786888186801</v>
      </c>
      <c r="J47" s="1">
        <f t="shared" si="28"/>
        <v>27933.147653041386</v>
      </c>
      <c r="K47">
        <f t="shared" si="22"/>
        <v>0.29669361119786658</v>
      </c>
      <c r="L47">
        <f t="shared" si="23"/>
        <v>23098.065455344466</v>
      </c>
      <c r="M47" s="1">
        <f t="shared" si="24"/>
        <v>12.535825702626868</v>
      </c>
      <c r="N47" s="1">
        <f t="shared" si="25"/>
        <v>108.88618205301697</v>
      </c>
      <c r="O47" s="1">
        <f t="shared" si="26"/>
        <v>1.0888618205301697</v>
      </c>
      <c r="P47" s="1">
        <f t="shared" si="27"/>
        <v>455.59068529937105</v>
      </c>
      <c r="AE47" s="3" t="s">
        <v>23</v>
      </c>
      <c r="AF47">
        <v>0.188</v>
      </c>
      <c r="AG47">
        <v>9.4E-2</v>
      </c>
      <c r="AH47">
        <f t="shared" si="20"/>
        <v>2.3875999999999999</v>
      </c>
      <c r="AI47">
        <f t="shared" si="21"/>
        <v>2</v>
      </c>
    </row>
    <row r="48" spans="1:35" x14ac:dyDescent="0.2">
      <c r="A48" t="s">
        <v>331</v>
      </c>
      <c r="I48">
        <f t="shared" si="29"/>
        <v>1364.4785432466451</v>
      </c>
      <c r="J48" s="1">
        <f t="shared" si="28"/>
        <v>28597.355628076486</v>
      </c>
      <c r="K48">
        <f t="shared" si="22"/>
        <v>0.30020034995176625</v>
      </c>
      <c r="L48">
        <f t="shared" si="23"/>
        <v>23897.042471641631</v>
      </c>
      <c r="M48" s="1">
        <f t="shared" si="24"/>
        <v>12.41298396764093</v>
      </c>
      <c r="N48" s="1">
        <f t="shared" si="25"/>
        <v>107.81917874292911</v>
      </c>
      <c r="O48" s="1">
        <f t="shared" si="26"/>
        <v>1.078191787429291</v>
      </c>
      <c r="P48" s="1">
        <f t="shared" si="27"/>
        <v>450.82945980784268</v>
      </c>
      <c r="V48" s="26"/>
      <c r="W48" s="26"/>
      <c r="X48" s="26"/>
      <c r="AE48" s="3" t="s">
        <v>443</v>
      </c>
      <c r="AF48">
        <v>0.02</v>
      </c>
      <c r="AG48">
        <v>0.01</v>
      </c>
      <c r="AH48">
        <f t="shared" si="20"/>
        <v>0.254</v>
      </c>
      <c r="AI48">
        <f t="shared" si="21"/>
        <v>2</v>
      </c>
    </row>
    <row r="49" spans="1:35" x14ac:dyDescent="0.2">
      <c r="I49">
        <f t="shared" si="29"/>
        <v>1396.9237778992467</v>
      </c>
      <c r="J49" s="1">
        <f t="shared" si="28"/>
        <v>29277.357463494951</v>
      </c>
      <c r="K49">
        <f t="shared" si="22"/>
        <v>0.3037485362334319</v>
      </c>
      <c r="L49">
        <f t="shared" si="23"/>
        <v>24706.751102037466</v>
      </c>
      <c r="M49" s="1">
        <f t="shared" si="24"/>
        <v>12.304595121993005</v>
      </c>
      <c r="N49" s="1">
        <f t="shared" si="25"/>
        <v>106.87771322963124</v>
      </c>
      <c r="O49" s="1">
        <f t="shared" si="26"/>
        <v>1.0687771322963124</v>
      </c>
      <c r="P49" s="1">
        <f t="shared" si="27"/>
        <v>446.42324713276656</v>
      </c>
      <c r="V49" s="53"/>
      <c r="W49" s="26"/>
      <c r="X49" s="26"/>
      <c r="AE49" t="s">
        <v>451</v>
      </c>
      <c r="AF49">
        <v>2.2440944881889767E-2</v>
      </c>
      <c r="AG49">
        <v>1.1220472440944883E-2</v>
      </c>
      <c r="AH49">
        <f t="shared" si="20"/>
        <v>0.28500000000000003</v>
      </c>
      <c r="AI49">
        <f t="shared" si="21"/>
        <v>2</v>
      </c>
    </row>
    <row r="50" spans="1:35" ht="13.5" thickBot="1" x14ac:dyDescent="0.25">
      <c r="I50">
        <f t="shared" si="29"/>
        <v>1430.1405111267966</v>
      </c>
      <c r="J50" s="1">
        <f t="shared" si="28"/>
        <v>29973.528713393076</v>
      </c>
      <c r="K50">
        <f t="shared" si="22"/>
        <v>0.30733865992753368</v>
      </c>
      <c r="L50">
        <f t="shared" si="23"/>
        <v>25527.873266399714</v>
      </c>
      <c r="M50" s="1">
        <f t="shared" si="24"/>
        <v>12.209488077780444</v>
      </c>
      <c r="N50" s="1">
        <f t="shared" si="25"/>
        <v>106.05161344360093</v>
      </c>
      <c r="O50" s="1">
        <f t="shared" si="26"/>
        <v>1.0605161344360092</v>
      </c>
      <c r="P50" s="1">
        <f t="shared" si="27"/>
        <v>442.33754799688859</v>
      </c>
      <c r="V50" s="26"/>
      <c r="W50" s="26"/>
      <c r="X50" s="26"/>
      <c r="AE50" t="s">
        <v>450</v>
      </c>
      <c r="AF50">
        <v>2.7952755905511811E-2</v>
      </c>
      <c r="AG50">
        <v>1.3976377952755905E-2</v>
      </c>
      <c r="AH50">
        <f t="shared" si="20"/>
        <v>0.35499999999999998</v>
      </c>
      <c r="AI50">
        <f t="shared" si="21"/>
        <v>2</v>
      </c>
    </row>
    <row r="51" spans="1:35" ht="15" thickBot="1" x14ac:dyDescent="0.25">
      <c r="I51">
        <f t="shared" si="29"/>
        <v>1464.1470879977624</v>
      </c>
      <c r="J51" s="1">
        <f t="shared" si="28"/>
        <v>30686.253861975161</v>
      </c>
      <c r="K51">
        <f t="shared" si="22"/>
        <v>0.31097121670888189</v>
      </c>
      <c r="L51">
        <f>(J51^2-B$34^2)^0.5</f>
        <v>26361.071033900567</v>
      </c>
      <c r="M51" s="1">
        <f t="shared" si="24"/>
        <v>12.12663574105051</v>
      </c>
      <c r="N51" s="1">
        <f t="shared" si="25"/>
        <v>105.33195804676473</v>
      </c>
      <c r="O51" s="1">
        <f t="shared" si="26"/>
        <v>1.0533195804676472</v>
      </c>
      <c r="P51" s="1">
        <f t="shared" si="27"/>
        <v>438.54219807568057</v>
      </c>
      <c r="V51" s="54"/>
      <c r="W51" s="55"/>
      <c r="X51" s="26"/>
      <c r="AE51" s="17" t="s">
        <v>57</v>
      </c>
      <c r="AF51">
        <v>21</v>
      </c>
      <c r="AG51">
        <v>10.5</v>
      </c>
      <c r="AH51">
        <f t="shared" si="20"/>
        <v>266.7</v>
      </c>
      <c r="AI51">
        <f t="shared" si="21"/>
        <v>2</v>
      </c>
    </row>
    <row r="52" spans="1:35" x14ac:dyDescent="0.2">
      <c r="I52">
        <f t="shared" si="29"/>
        <v>1498.9622897985748</v>
      </c>
      <c r="J52" s="1">
        <f t="shared" si="28"/>
        <v>31415.926535897976</v>
      </c>
      <c r="K52">
        <f t="shared" si="22"/>
        <v>0.31464670811086265</v>
      </c>
      <c r="L52">
        <f>(J52^2-B$34^2)^0.5</f>
        <v>27206.990463513317</v>
      </c>
      <c r="M52" s="1">
        <f t="shared" si="24"/>
        <v>12.055133019597159</v>
      </c>
      <c r="N52" s="1">
        <f t="shared" si="25"/>
        <v>104.71088540822092</v>
      </c>
      <c r="O52" s="1">
        <f t="shared" si="26"/>
        <v>1.0471088540822091</v>
      </c>
      <c r="P52" s="1">
        <f t="shared" si="27"/>
        <v>435.0106957196349</v>
      </c>
      <c r="V52" s="26"/>
      <c r="W52" s="26"/>
      <c r="X52" s="26"/>
      <c r="AE52" s="3" t="s">
        <v>237</v>
      </c>
      <c r="AF52">
        <v>0.224</v>
      </c>
      <c r="AG52">
        <v>0.112</v>
      </c>
      <c r="AH52">
        <f t="shared" si="20"/>
        <v>2.8447999999999998</v>
      </c>
      <c r="AI52">
        <f t="shared" si="21"/>
        <v>2</v>
      </c>
    </row>
    <row r="53" spans="1:35" x14ac:dyDescent="0.2">
      <c r="V53" s="26"/>
      <c r="W53" s="26"/>
      <c r="X53" s="26"/>
      <c r="AE53" s="17" t="s">
        <v>135</v>
      </c>
      <c r="AF53">
        <v>2.29</v>
      </c>
      <c r="AG53">
        <v>1.145</v>
      </c>
      <c r="AH53">
        <f t="shared" si="20"/>
        <v>29.082999999999998</v>
      </c>
      <c r="AI53">
        <f t="shared" si="21"/>
        <v>2</v>
      </c>
    </row>
    <row r="54" spans="1:35" x14ac:dyDescent="0.2">
      <c r="V54" s="26"/>
      <c r="W54" s="26"/>
      <c r="X54" s="26"/>
      <c r="AE54" s="17" t="s">
        <v>52</v>
      </c>
      <c r="AF54">
        <v>23</v>
      </c>
      <c r="AG54">
        <v>11</v>
      </c>
      <c r="AH54">
        <f t="shared" si="20"/>
        <v>279.39999999999998</v>
      </c>
      <c r="AI54">
        <f t="shared" si="21"/>
        <v>2.0909090909090908</v>
      </c>
    </row>
    <row r="55" spans="1:35" x14ac:dyDescent="0.2">
      <c r="V55" s="26"/>
      <c r="W55" s="26"/>
      <c r="X55" s="26"/>
      <c r="AE55" s="3" t="s">
        <v>436</v>
      </c>
      <c r="AF55">
        <v>0.28000000000000003</v>
      </c>
      <c r="AG55">
        <v>0.14000000000000001</v>
      </c>
      <c r="AH55">
        <f t="shared" si="20"/>
        <v>3.556</v>
      </c>
      <c r="AI55">
        <f t="shared" si="21"/>
        <v>2</v>
      </c>
    </row>
    <row r="56" spans="1:35" x14ac:dyDescent="0.2">
      <c r="A56" t="s">
        <v>462</v>
      </c>
      <c r="B56" t="str">
        <f>K4</f>
        <v>WR1.0</v>
      </c>
      <c r="I56" t="s">
        <v>5</v>
      </c>
      <c r="J56" t="s">
        <v>11</v>
      </c>
      <c r="K56" t="s">
        <v>308</v>
      </c>
      <c r="L56" t="s">
        <v>309</v>
      </c>
      <c r="M56" t="s">
        <v>20</v>
      </c>
      <c r="N56" t="s">
        <v>16</v>
      </c>
      <c r="O56" t="s">
        <v>17</v>
      </c>
      <c r="P56" t="s">
        <v>307</v>
      </c>
      <c r="AE56" s="17" t="s">
        <v>126</v>
      </c>
      <c r="AF56">
        <v>2.84</v>
      </c>
      <c r="AG56">
        <v>1.34</v>
      </c>
      <c r="AH56">
        <f t="shared" si="20"/>
        <v>34.036000000000001</v>
      </c>
      <c r="AI56">
        <f t="shared" si="21"/>
        <v>2.1194029850746268</v>
      </c>
    </row>
    <row r="57" spans="1:35" x14ac:dyDescent="0.2">
      <c r="A57" t="s">
        <v>0</v>
      </c>
      <c r="B57">
        <f>LOOKUP(K4,AE$30:AE$77,AF$30:AF$77)</f>
        <v>9.8425196850393699E-3</v>
      </c>
      <c r="C57" t="s">
        <v>2</v>
      </c>
      <c r="D57">
        <f>B57*25.4</f>
        <v>0.24999999999999997</v>
      </c>
      <c r="E57" t="s">
        <v>303</v>
      </c>
      <c r="F57">
        <f>D57/1000</f>
        <v>2.4999999999999995E-4</v>
      </c>
      <c r="G57" t="s">
        <v>304</v>
      </c>
      <c r="I57" s="2">
        <f>B61*B$5</f>
        <v>749.48114489928673</v>
      </c>
      <c r="J57" s="1">
        <f t="shared" ref="J57:J77" si="30">2*PI()*I57*1000000000/B$8</f>
        <v>15707.963267948971</v>
      </c>
      <c r="K57">
        <f t="shared" ref="K57:K77" si="31">(2*PI()*I57*1000000000*B$9*B$64/(2*B$63))^0.5</f>
        <v>0.22248882098321512</v>
      </c>
      <c r="L57">
        <f>(J57^2-B$59^2)^0.5</f>
        <v>9424.7779607693847</v>
      </c>
      <c r="M57" s="1">
        <f t="shared" ref="M57:M77" si="32">K57/(F$57^3*F$58*L57*J57*B$11)*(2*F$58*PI()^2+F$57^3*J57^2)</f>
        <v>12.913983059786586</v>
      </c>
      <c r="N57" s="1">
        <f t="shared" ref="N57:N77" si="33">M57*8.686</f>
        <v>112.17085685730629</v>
      </c>
      <c r="O57" s="1">
        <f t="shared" ref="O57:O77" si="34">N57/100</f>
        <v>1.121708568573063</v>
      </c>
      <c r="P57" s="1">
        <f t="shared" ref="P57:P77" si="35">J57*B$11/L57</f>
        <v>627.88385568524416</v>
      </c>
      <c r="AE57" s="17" t="s">
        <v>297</v>
      </c>
      <c r="AF57">
        <v>3.4000000000000002E-2</v>
      </c>
      <c r="AG57">
        <v>1.7000000000000001E-2</v>
      </c>
      <c r="AH57">
        <f t="shared" si="20"/>
        <v>0.43180000000000002</v>
      </c>
      <c r="AI57">
        <f t="shared" si="21"/>
        <v>2</v>
      </c>
    </row>
    <row r="58" spans="1:35" x14ac:dyDescent="0.2">
      <c r="A58" t="s">
        <v>1</v>
      </c>
      <c r="B58">
        <f>LOOKUP(K4,AE$30:AE$77,AG$30:AG$77)</f>
        <v>4.921259842519685E-3</v>
      </c>
      <c r="C58" t="s">
        <v>2</v>
      </c>
      <c r="D58">
        <f>B58*25.4</f>
        <v>0.12499999999999999</v>
      </c>
      <c r="E58" t="s">
        <v>303</v>
      </c>
      <c r="F58">
        <f>D58/1000</f>
        <v>1.2499999999999998E-4</v>
      </c>
      <c r="G58" t="s">
        <v>304</v>
      </c>
      <c r="I58">
        <f>I57*B$7</f>
        <v>767.30267220311498</v>
      </c>
      <c r="J58" s="1">
        <f t="shared" si="30"/>
        <v>16081.474860832206</v>
      </c>
      <c r="K58">
        <f t="shared" si="31"/>
        <v>0.22511850406840622</v>
      </c>
      <c r="L58">
        <f t="shared" ref="L58:L77" si="36">(J58^2-B$59^2)^0.5</f>
        <v>10034.947099120574</v>
      </c>
      <c r="M58" s="1">
        <f t="shared" si="32"/>
        <v>12.338811646896353</v>
      </c>
      <c r="N58" s="1">
        <f t="shared" si="33"/>
        <v>107.17491796494173</v>
      </c>
      <c r="O58" s="1">
        <f t="shared" si="34"/>
        <v>1.0717491796494172</v>
      </c>
      <c r="P58" s="1">
        <f t="shared" si="35"/>
        <v>603.72805203584232</v>
      </c>
      <c r="AE58" t="s">
        <v>449</v>
      </c>
      <c r="AF58">
        <v>3.4015748031496068E-2</v>
      </c>
      <c r="AG58">
        <v>1.7007874015748034E-2</v>
      </c>
      <c r="AH58">
        <f t="shared" si="20"/>
        <v>0.43200000000000005</v>
      </c>
      <c r="AI58">
        <f t="shared" si="21"/>
        <v>2</v>
      </c>
    </row>
    <row r="59" spans="1:35" x14ac:dyDescent="0.2">
      <c r="A59" t="s">
        <v>9</v>
      </c>
      <c r="B59">
        <f>PI()/F57</f>
        <v>12566.370614359175</v>
      </c>
      <c r="C59" t="s">
        <v>305</v>
      </c>
      <c r="I59">
        <f t="shared" ref="I59:I77" si="37">I58*B$7</f>
        <v>785.54796845377075</v>
      </c>
      <c r="J59" s="1">
        <f t="shared" si="30"/>
        <v>16463.8679940933</v>
      </c>
      <c r="K59">
        <f t="shared" si="31"/>
        <v>0.22777926841466017</v>
      </c>
      <c r="L59">
        <f t="shared" si="36"/>
        <v>10636.976962911029</v>
      </c>
      <c r="M59" s="1">
        <f t="shared" si="32"/>
        <v>11.84821954611053</v>
      </c>
      <c r="N59" s="1">
        <f t="shared" si="33"/>
        <v>102.91363497751605</v>
      </c>
      <c r="O59" s="1">
        <f t="shared" si="34"/>
        <v>1.0291363497751604</v>
      </c>
      <c r="P59" s="1">
        <f t="shared" si="35"/>
        <v>583.10158713336989</v>
      </c>
      <c r="AE59" s="3" t="s">
        <v>218</v>
      </c>
      <c r="AF59">
        <v>0.34</v>
      </c>
      <c r="AG59">
        <v>0.17</v>
      </c>
      <c r="AH59">
        <f t="shared" si="20"/>
        <v>4.3180000000000005</v>
      </c>
      <c r="AI59">
        <f t="shared" si="21"/>
        <v>2</v>
      </c>
    </row>
    <row r="60" spans="1:35" x14ac:dyDescent="0.2">
      <c r="A60" t="s">
        <v>306</v>
      </c>
      <c r="B60">
        <f>2*PI()/B59</f>
        <v>4.999999999999999E-4</v>
      </c>
      <c r="C60" t="s">
        <v>304</v>
      </c>
      <c r="I60">
        <f t="shared" si="37"/>
        <v>804.22711023544548</v>
      </c>
      <c r="J60" s="1">
        <f t="shared" si="30"/>
        <v>16855.353857320431</v>
      </c>
      <c r="K60">
        <f t="shared" si="31"/>
        <v>0.23047148138365434</v>
      </c>
      <c r="L60">
        <f t="shared" si="36"/>
        <v>11233.400341751243</v>
      </c>
      <c r="M60" s="1">
        <f t="shared" si="32"/>
        <v>11.42526035763227</v>
      </c>
      <c r="N60" s="1">
        <f t="shared" si="33"/>
        <v>99.239811466393903</v>
      </c>
      <c r="O60" s="1">
        <f t="shared" si="34"/>
        <v>0.99239811466393901</v>
      </c>
      <c r="P60" s="1">
        <f t="shared" si="35"/>
        <v>565.27164955773094</v>
      </c>
      <c r="AE60" s="17" t="s">
        <v>119</v>
      </c>
      <c r="AF60">
        <v>3.4</v>
      </c>
      <c r="AG60">
        <v>1.7</v>
      </c>
      <c r="AH60">
        <f t="shared" si="20"/>
        <v>43.18</v>
      </c>
      <c r="AI60">
        <f t="shared" si="21"/>
        <v>2</v>
      </c>
    </row>
    <row r="61" spans="1:35" x14ac:dyDescent="0.2">
      <c r="A61" t="s">
        <v>8</v>
      </c>
      <c r="B61" s="2">
        <f>B$8/B60/1000000000</f>
        <v>599.58491591942936</v>
      </c>
      <c r="C61" t="s">
        <v>35</v>
      </c>
      <c r="I61">
        <f t="shared" si="37"/>
        <v>823.35041373825186</v>
      </c>
      <c r="J61" s="1">
        <f t="shared" si="30"/>
        <v>17256.148661870568</v>
      </c>
      <c r="K61">
        <f t="shared" si="31"/>
        <v>0.23319551467905866</v>
      </c>
      <c r="L61">
        <f t="shared" si="36"/>
        <v>11826.284125757658</v>
      </c>
      <c r="M61" s="1">
        <f t="shared" si="32"/>
        <v>11.057459161549243</v>
      </c>
      <c r="N61" s="1">
        <f t="shared" si="33"/>
        <v>96.04509027721673</v>
      </c>
      <c r="O61" s="1">
        <f t="shared" si="34"/>
        <v>0.96045090277216727</v>
      </c>
      <c r="P61" s="1">
        <f t="shared" si="35"/>
        <v>549.70049971121853</v>
      </c>
      <c r="AE61" s="17" t="s">
        <v>291</v>
      </c>
      <c r="AF61">
        <v>4.2999999999999997E-2</v>
      </c>
      <c r="AG61">
        <v>2.1499999999999998E-2</v>
      </c>
      <c r="AH61">
        <f t="shared" si="20"/>
        <v>0.54609999999999992</v>
      </c>
      <c r="AI61">
        <f t="shared" si="21"/>
        <v>2</v>
      </c>
    </row>
    <row r="62" spans="1:35" x14ac:dyDescent="0.2">
      <c r="A62" t="s">
        <v>418</v>
      </c>
      <c r="B62" t="str">
        <f>K5</f>
        <v>Copper</v>
      </c>
      <c r="I62">
        <f t="shared" si="37"/>
        <v>842.92844045569018</v>
      </c>
      <c r="J62" s="1">
        <f t="shared" si="30"/>
        <v>17666.473760279507</v>
      </c>
      <c r="K62">
        <f t="shared" si="31"/>
        <v>0.23595174439785527</v>
      </c>
      <c r="L62">
        <f t="shared" si="36"/>
        <v>12417.351758938557</v>
      </c>
      <c r="M62" s="1">
        <f t="shared" si="32"/>
        <v>10.73539958813126</v>
      </c>
      <c r="N62" s="1">
        <f t="shared" si="33"/>
        <v>93.24768082250813</v>
      </c>
      <c r="O62" s="1">
        <f t="shared" si="34"/>
        <v>0.93247680822508128</v>
      </c>
      <c r="P62" s="1">
        <f t="shared" si="35"/>
        <v>535.98354349501096</v>
      </c>
      <c r="AE62" t="s">
        <v>448</v>
      </c>
      <c r="AF62">
        <v>4.2992125984251971E-2</v>
      </c>
      <c r="AG62">
        <v>2.1496062992125985E-2</v>
      </c>
      <c r="AH62">
        <f t="shared" si="20"/>
        <v>0.54600000000000004</v>
      </c>
      <c r="AI62">
        <f t="shared" si="21"/>
        <v>2</v>
      </c>
    </row>
    <row r="63" spans="1:35" x14ac:dyDescent="0.2">
      <c r="A63" t="s">
        <v>12</v>
      </c>
      <c r="B63" s="40">
        <f>LOOKUP(K5,$AC$85:$AC$115,$AH$85:$AH$115)</f>
        <v>59772863.120143451</v>
      </c>
      <c r="C63" t="s">
        <v>310</v>
      </c>
      <c r="I63">
        <f t="shared" si="37"/>
        <v>862.97200301759165</v>
      </c>
      <c r="J63" s="1">
        <f t="shared" si="30"/>
        <v>18086.555768511342</v>
      </c>
      <c r="K63">
        <f t="shared" si="31"/>
        <v>0.23874055108226475</v>
      </c>
      <c r="L63">
        <f t="shared" si="36"/>
        <v>13008.067848456245</v>
      </c>
      <c r="M63" s="1">
        <f t="shared" si="32"/>
        <v>10.451821115051979</v>
      </c>
      <c r="N63" s="1">
        <f t="shared" si="33"/>
        <v>90.784518205341499</v>
      </c>
      <c r="O63" s="1">
        <f t="shared" si="34"/>
        <v>0.90784518205341502</v>
      </c>
      <c r="P63" s="1">
        <f t="shared" si="35"/>
        <v>523.80983114322339</v>
      </c>
      <c r="AE63" s="17" t="s">
        <v>22</v>
      </c>
      <c r="AF63">
        <v>0.42</v>
      </c>
      <c r="AG63">
        <v>0.17</v>
      </c>
      <c r="AH63">
        <f t="shared" si="20"/>
        <v>4.3180000000000005</v>
      </c>
      <c r="AI63">
        <f t="shared" si="21"/>
        <v>2.4705882352941173</v>
      </c>
    </row>
    <row r="64" spans="1:35" x14ac:dyDescent="0.2">
      <c r="A64" s="45" t="s">
        <v>434</v>
      </c>
      <c r="B64">
        <f>LOOKUP(K5,$AC$85:$AC$115,$AI$85:$AI$115)</f>
        <v>1</v>
      </c>
      <c r="I64">
        <f t="shared" si="37"/>
        <v>883.49217116176021</v>
      </c>
      <c r="J64" s="1">
        <f t="shared" si="30"/>
        <v>18516.626691114801</v>
      </c>
      <c r="K64">
        <f t="shared" si="31"/>
        <v>0.24156231977228623</v>
      </c>
      <c r="L64">
        <f t="shared" si="36"/>
        <v>13599.698290795839</v>
      </c>
      <c r="M64" s="1">
        <f t="shared" si="32"/>
        <v>10.201022189083414</v>
      </c>
      <c r="N64" s="1">
        <f t="shared" si="33"/>
        <v>88.606078734378528</v>
      </c>
      <c r="O64" s="1">
        <f t="shared" si="34"/>
        <v>0.88606078734378524</v>
      </c>
      <c r="P64" s="1">
        <f t="shared" si="35"/>
        <v>512.93598045348006</v>
      </c>
      <c r="AE64" s="17" t="s">
        <v>110</v>
      </c>
      <c r="AF64">
        <v>4.3</v>
      </c>
      <c r="AG64">
        <v>2.15</v>
      </c>
      <c r="AH64">
        <f t="shared" si="20"/>
        <v>54.609999999999992</v>
      </c>
      <c r="AI64">
        <f t="shared" si="21"/>
        <v>2</v>
      </c>
    </row>
    <row r="65" spans="1:35" x14ac:dyDescent="0.2">
      <c r="I65">
        <f t="shared" si="37"/>
        <v>904.50027784761096</v>
      </c>
      <c r="J65" s="1">
        <f t="shared" si="30"/>
        <v>18956.924049355672</v>
      </c>
      <c r="K65">
        <f t="shared" si="31"/>
        <v>0.24441744005885843</v>
      </c>
      <c r="L65">
        <f t="shared" si="36"/>
        <v>14193.354043199572</v>
      </c>
      <c r="M65" s="1">
        <f t="shared" si="32"/>
        <v>9.9784537882563882</v>
      </c>
      <c r="N65" s="1">
        <f t="shared" si="33"/>
        <v>86.67284960479499</v>
      </c>
      <c r="O65" s="1">
        <f t="shared" si="34"/>
        <v>0.86672849604794988</v>
      </c>
      <c r="P65" s="1">
        <f t="shared" si="35"/>
        <v>503.16844888730327</v>
      </c>
      <c r="AE65" s="17" t="s">
        <v>285</v>
      </c>
      <c r="AF65">
        <v>5.0999999999999997E-2</v>
      </c>
      <c r="AG65">
        <v>2.5499999999999998E-2</v>
      </c>
      <c r="AH65">
        <f t="shared" si="20"/>
        <v>0.64769999999999994</v>
      </c>
      <c r="AI65">
        <f t="shared" si="21"/>
        <v>2</v>
      </c>
    </row>
    <row r="66" spans="1:35" x14ac:dyDescent="0.2">
      <c r="B66" s="45"/>
      <c r="I66">
        <f t="shared" si="37"/>
        <v>926.00792551518168</v>
      </c>
      <c r="J66" s="1">
        <f t="shared" si="30"/>
        <v>19407.691012395931</v>
      </c>
      <c r="K66">
        <f t="shared" si="31"/>
        <v>0.24730630613764887</v>
      </c>
      <c r="L66">
        <f t="shared" si="36"/>
        <v>14790.023665133333</v>
      </c>
      <c r="M66" s="1">
        <f t="shared" si="32"/>
        <v>9.7804355260915763</v>
      </c>
      <c r="N66" s="1">
        <f t="shared" si="33"/>
        <v>84.952862979631433</v>
      </c>
      <c r="O66" s="1">
        <f t="shared" si="34"/>
        <v>0.84952862979631438</v>
      </c>
      <c r="P66" s="1">
        <f t="shared" si="35"/>
        <v>494.35117098040814</v>
      </c>
      <c r="AE66" t="s">
        <v>447</v>
      </c>
      <c r="AF66">
        <v>5.0984251968503938E-2</v>
      </c>
      <c r="AG66">
        <v>2.5492125984251969E-2</v>
      </c>
      <c r="AH66">
        <f t="shared" si="20"/>
        <v>0.64749999999999996</v>
      </c>
      <c r="AI66">
        <f t="shared" si="21"/>
        <v>2</v>
      </c>
    </row>
    <row r="67" spans="1:35" x14ac:dyDescent="0.2">
      <c r="I67">
        <f t="shared" si="37"/>
        <v>948.02699249297439</v>
      </c>
      <c r="J67" s="1">
        <f t="shared" si="30"/>
        <v>19869.17653159222</v>
      </c>
      <c r="K67">
        <f t="shared" si="31"/>
        <v>0.25022931686347916</v>
      </c>
      <c r="L67">
        <f t="shared" si="36"/>
        <v>15390.597961942391</v>
      </c>
      <c r="M67" s="1">
        <f t="shared" si="32"/>
        <v>9.6039528856454286</v>
      </c>
      <c r="N67" s="1">
        <f t="shared" si="33"/>
        <v>83.419934764716189</v>
      </c>
      <c r="O67" s="1">
        <f t="shared" si="34"/>
        <v>0.83419934764716186</v>
      </c>
      <c r="P67" s="1">
        <f t="shared" si="35"/>
        <v>486.35674328429019</v>
      </c>
      <c r="AE67" s="17" t="s">
        <v>204</v>
      </c>
      <c r="AF67">
        <v>0.51</v>
      </c>
      <c r="AG67">
        <v>0.255</v>
      </c>
      <c r="AH67">
        <f t="shared" si="20"/>
        <v>6.4769999999999994</v>
      </c>
      <c r="AI67">
        <f t="shared" si="21"/>
        <v>2</v>
      </c>
    </row>
    <row r="68" spans="1:35" x14ac:dyDescent="0.2">
      <c r="I68">
        <f t="shared" si="37"/>
        <v>970.56963955816514</v>
      </c>
      <c r="J68" s="1">
        <f t="shared" si="30"/>
        <v>20341.635477987646</v>
      </c>
      <c r="K68">
        <f t="shared" si="31"/>
        <v>0.25318687580539317</v>
      </c>
      <c r="L68">
        <f t="shared" si="36"/>
        <v>15995.888956287983</v>
      </c>
      <c r="M68" s="1">
        <f t="shared" si="32"/>
        <v>9.4465095248929565</v>
      </c>
      <c r="N68" s="1">
        <f t="shared" si="33"/>
        <v>82.052381733220216</v>
      </c>
      <c r="O68" s="1">
        <f t="shared" si="34"/>
        <v>0.82052381733220214</v>
      </c>
      <c r="P68" s="1">
        <f t="shared" si="35"/>
        <v>479.08001423735419</v>
      </c>
      <c r="AE68" s="17" t="s">
        <v>103</v>
      </c>
      <c r="AF68">
        <v>5.0999999999999996</v>
      </c>
      <c r="AG68">
        <v>2.5499999999999998</v>
      </c>
      <c r="AH68">
        <f t="shared" si="20"/>
        <v>64.77</v>
      </c>
      <c r="AI68">
        <f t="shared" si="21"/>
        <v>2</v>
      </c>
    </row>
    <row r="69" spans="1:35" x14ac:dyDescent="0.2">
      <c r="I69">
        <f t="shared" si="37"/>
        <v>993.64831665280622</v>
      </c>
      <c r="J69" s="1">
        <f t="shared" si="30"/>
        <v>20825.328783072982</v>
      </c>
      <c r="K69">
        <f t="shared" si="31"/>
        <v>0.25617939130237655</v>
      </c>
      <c r="L69">
        <f t="shared" si="36"/>
        <v>16606.644709442611</v>
      </c>
      <c r="M69" s="1">
        <f t="shared" si="32"/>
        <v>9.3060178001295526</v>
      </c>
      <c r="N69" s="1">
        <f t="shared" si="33"/>
        <v>80.832070611925289</v>
      </c>
      <c r="O69" s="1">
        <f t="shared" si="34"/>
        <v>0.80832070611925289</v>
      </c>
      <c r="P69" s="1">
        <f t="shared" si="35"/>
        <v>472.43334078654982</v>
      </c>
      <c r="AE69" t="s">
        <v>446</v>
      </c>
      <c r="AF69">
        <v>6.5000000000000002E-2</v>
      </c>
      <c r="AG69">
        <v>3.2500000000000001E-2</v>
      </c>
      <c r="AH69">
        <f t="shared" si="20"/>
        <v>0.82550000000000001</v>
      </c>
      <c r="AI69">
        <f t="shared" si="21"/>
        <v>2</v>
      </c>
    </row>
    <row r="70" spans="1:35" x14ac:dyDescent="0.2">
      <c r="I70">
        <f t="shared" si="37"/>
        <v>1017.2757697597293</v>
      </c>
      <c r="J70" s="1">
        <f t="shared" si="30"/>
        <v>21320.523582894941</v>
      </c>
      <c r="K70">
        <f t="shared" si="31"/>
        <v>0.25920727651973419</v>
      </c>
      <c r="L70">
        <f t="shared" si="36"/>
        <v>17223.561055465547</v>
      </c>
      <c r="M70" s="1">
        <f t="shared" si="32"/>
        <v>9.1807163391070574</v>
      </c>
      <c r="N70" s="1">
        <f t="shared" si="33"/>
        <v>79.743702121483906</v>
      </c>
      <c r="O70" s="1">
        <f t="shared" si="34"/>
        <v>0.79743702121483906</v>
      </c>
      <c r="P70" s="1">
        <f t="shared" si="35"/>
        <v>466.34302311860949</v>
      </c>
      <c r="AE70" s="17" t="s">
        <v>21</v>
      </c>
      <c r="AF70">
        <v>0.622</v>
      </c>
      <c r="AG70">
        <v>0.311</v>
      </c>
      <c r="AH70">
        <f t="shared" si="20"/>
        <v>7.8993999999999991</v>
      </c>
      <c r="AI70">
        <f t="shared" si="21"/>
        <v>2</v>
      </c>
    </row>
    <row r="71" spans="1:35" x14ac:dyDescent="0.2">
      <c r="I71">
        <f t="shared" si="37"/>
        <v>1041.465047941947</v>
      </c>
      <c r="J71" s="1">
        <f t="shared" si="30"/>
        <v>21827.493365591119</v>
      </c>
      <c r="K71">
        <f t="shared" si="31"/>
        <v>0.26227094950613478</v>
      </c>
      <c r="L71">
        <f t="shared" si="36"/>
        <v>17847.291004729388</v>
      </c>
      <c r="M71" s="1">
        <f t="shared" si="32"/>
        <v>9.0691071004301627</v>
      </c>
      <c r="N71" s="1">
        <f t="shared" si="33"/>
        <v>78.774264274336389</v>
      </c>
      <c r="O71" s="1">
        <f t="shared" si="34"/>
        <v>0.78774264274336392</v>
      </c>
      <c r="P71" s="1">
        <f t="shared" si="35"/>
        <v>460.74658694251212</v>
      </c>
      <c r="AE71" s="17" t="s">
        <v>94</v>
      </c>
      <c r="AF71">
        <v>6.5</v>
      </c>
      <c r="AG71">
        <v>3.25</v>
      </c>
      <c r="AH71">
        <f t="shared" si="20"/>
        <v>82.55</v>
      </c>
      <c r="AI71">
        <f t="shared" si="21"/>
        <v>2</v>
      </c>
    </row>
    <row r="72" spans="1:35" x14ac:dyDescent="0.2">
      <c r="I72">
        <f t="shared" si="37"/>
        <v>1066.2295105494409</v>
      </c>
      <c r="J72" s="1">
        <f t="shared" si="30"/>
        <v>22346.51812243311</v>
      </c>
      <c r="K72">
        <f t="shared" si="31"/>
        <v>0.26537083325132899</v>
      </c>
      <c r="L72">
        <f t="shared" si="36"/>
        <v>18478.452364275578</v>
      </c>
      <c r="M72" s="1">
        <f t="shared" si="32"/>
        <v>8.9699066960520764</v>
      </c>
      <c r="N72" s="1">
        <f t="shared" si="33"/>
        <v>77.91260956190834</v>
      </c>
      <c r="O72" s="1">
        <f t="shared" si="34"/>
        <v>0.77912609561908341</v>
      </c>
      <c r="P72" s="1">
        <f t="shared" si="35"/>
        <v>455.59068529937093</v>
      </c>
      <c r="AE72" s="17" t="s">
        <v>278</v>
      </c>
      <c r="AF72">
        <v>6.5000000000000002E-2</v>
      </c>
      <c r="AG72">
        <v>3.2500000000000001E-2</v>
      </c>
      <c r="AH72">
        <f t="shared" si="20"/>
        <v>0.82550000000000001</v>
      </c>
      <c r="AI72">
        <f t="shared" si="21"/>
        <v>2</v>
      </c>
    </row>
    <row r="73" spans="1:35" x14ac:dyDescent="0.2">
      <c r="A73" t="s">
        <v>331</v>
      </c>
      <c r="I73">
        <f t="shared" si="37"/>
        <v>1091.5828345973162</v>
      </c>
      <c r="J73" s="1">
        <f t="shared" si="30"/>
        <v>22877.884502461187</v>
      </c>
      <c r="K73">
        <f t="shared" si="31"/>
        <v>0.26850735574455004</v>
      </c>
      <c r="L73">
        <f t="shared" si="36"/>
        <v>19117.6339773133</v>
      </c>
      <c r="M73" s="1">
        <f t="shared" si="32"/>
        <v>8.8820083056832608</v>
      </c>
      <c r="N73" s="1">
        <f t="shared" si="33"/>
        <v>77.149124143164798</v>
      </c>
      <c r="O73" s="1">
        <f t="shared" si="34"/>
        <v>0.77149124143164793</v>
      </c>
      <c r="P73" s="1">
        <f t="shared" si="35"/>
        <v>450.82945980784274</v>
      </c>
      <c r="AE73" s="17" t="s">
        <v>188</v>
      </c>
      <c r="AF73">
        <v>0.75</v>
      </c>
      <c r="AG73">
        <v>0.375</v>
      </c>
      <c r="AH73">
        <f t="shared" si="20"/>
        <v>9.5249999999999986</v>
      </c>
      <c r="AI73">
        <f t="shared" si="21"/>
        <v>2</v>
      </c>
    </row>
    <row r="74" spans="1:35" x14ac:dyDescent="0.2">
      <c r="I74">
        <f t="shared" si="37"/>
        <v>1117.5390223193974</v>
      </c>
      <c r="J74" s="1">
        <f t="shared" si="30"/>
        <v>23421.88597079596</v>
      </c>
      <c r="K74">
        <f t="shared" si="31"/>
        <v>0.27168095003360471</v>
      </c>
      <c r="L74">
        <f t="shared" si="36"/>
        <v>19765.400881629972</v>
      </c>
      <c r="M74" s="1">
        <f t="shared" si="32"/>
        <v>8.804451561084381</v>
      </c>
      <c r="N74" s="1">
        <f t="shared" si="33"/>
        <v>76.475466259578937</v>
      </c>
      <c r="O74" s="1">
        <f t="shared" si="34"/>
        <v>0.76475466259578939</v>
      </c>
      <c r="P74" s="1">
        <f t="shared" si="35"/>
        <v>446.42324713276656</v>
      </c>
      <c r="AE74" s="17" t="s">
        <v>87</v>
      </c>
      <c r="AF74">
        <v>7.7</v>
      </c>
      <c r="AG74">
        <v>3.85</v>
      </c>
      <c r="AH74">
        <f t="shared" si="20"/>
        <v>97.789999999999992</v>
      </c>
      <c r="AI74">
        <f t="shared" si="21"/>
        <v>2</v>
      </c>
    </row>
    <row r="75" spans="1:35" x14ac:dyDescent="0.2">
      <c r="I75">
        <f t="shared" si="37"/>
        <v>1144.1124089014374</v>
      </c>
      <c r="J75" s="1">
        <f t="shared" si="30"/>
        <v>23978.822970714467</v>
      </c>
      <c r="K75">
        <f t="shared" si="31"/>
        <v>0.2748920542846624</v>
      </c>
      <c r="L75">
        <f t="shared" si="36"/>
        <v>20422.298613119779</v>
      </c>
      <c r="M75" s="1">
        <f t="shared" si="32"/>
        <v>8.7363984999649045</v>
      </c>
      <c r="N75" s="1">
        <f t="shared" si="33"/>
        <v>75.884357370695156</v>
      </c>
      <c r="O75" s="1">
        <f t="shared" si="34"/>
        <v>0.75884357370695155</v>
      </c>
      <c r="P75" s="1">
        <f t="shared" si="35"/>
        <v>442.33754799688853</v>
      </c>
      <c r="AE75" s="17" t="s">
        <v>271</v>
      </c>
      <c r="AF75">
        <v>0.08</v>
      </c>
      <c r="AG75">
        <v>0.04</v>
      </c>
      <c r="AH75">
        <f t="shared" si="20"/>
        <v>1.016</v>
      </c>
      <c r="AI75">
        <f t="shared" si="21"/>
        <v>2</v>
      </c>
    </row>
    <row r="76" spans="1:35" x14ac:dyDescent="0.2">
      <c r="I76">
        <f t="shared" si="37"/>
        <v>1171.3176703982101</v>
      </c>
      <c r="J76" s="1">
        <f t="shared" si="30"/>
        <v>24549.003089580132</v>
      </c>
      <c r="K76">
        <f t="shared" si="31"/>
        <v>0.27814111184275131</v>
      </c>
      <c r="L76">
        <f t="shared" si="36"/>
        <v>21088.856827120457</v>
      </c>
      <c r="M76" s="1">
        <f t="shared" si="32"/>
        <v>8.6771141937175944</v>
      </c>
      <c r="N76" s="1">
        <f t="shared" si="33"/>
        <v>75.369413886631023</v>
      </c>
      <c r="O76" s="1">
        <f t="shared" si="34"/>
        <v>0.7536941388663102</v>
      </c>
      <c r="P76" s="1">
        <f t="shared" si="35"/>
        <v>438.54219807568063</v>
      </c>
      <c r="AE76" s="17" t="s">
        <v>19</v>
      </c>
      <c r="AF76">
        <v>0.9</v>
      </c>
      <c r="AG76">
        <v>0.4</v>
      </c>
      <c r="AH76">
        <f t="shared" si="20"/>
        <v>10.16</v>
      </c>
      <c r="AI76">
        <f t="shared" si="21"/>
        <v>2.25</v>
      </c>
    </row>
    <row r="77" spans="1:35" x14ac:dyDescent="0.2">
      <c r="I77">
        <f t="shared" si="37"/>
        <v>1199.1698318388601</v>
      </c>
      <c r="J77" s="1">
        <f t="shared" si="30"/>
        <v>25132.741228718383</v>
      </c>
      <c r="K77">
        <f t="shared" si="31"/>
        <v>0.28142857129296933</v>
      </c>
      <c r="L77">
        <f t="shared" si="36"/>
        <v>21765.592370810657</v>
      </c>
      <c r="M77" s="1">
        <f t="shared" si="32"/>
        <v>8.6259510110789019</v>
      </c>
      <c r="N77" s="1">
        <f t="shared" si="33"/>
        <v>74.925010482231343</v>
      </c>
      <c r="O77" s="1">
        <f t="shared" si="34"/>
        <v>0.74925010482231347</v>
      </c>
      <c r="P77" s="1">
        <f t="shared" si="35"/>
        <v>435.0106957196349</v>
      </c>
      <c r="AE77" s="17" t="s">
        <v>80</v>
      </c>
      <c r="AF77">
        <v>9.75</v>
      </c>
      <c r="AG77">
        <v>4.87</v>
      </c>
      <c r="AH77">
        <f t="shared" si="20"/>
        <v>123.69799999999999</v>
      </c>
      <c r="AI77">
        <f t="shared" si="21"/>
        <v>2.0020533880903488</v>
      </c>
    </row>
    <row r="81" spans="1:35" x14ac:dyDescent="0.2">
      <c r="A81" t="s">
        <v>462</v>
      </c>
      <c r="B81" t="str">
        <f>M4</f>
        <v>WR1.2</v>
      </c>
      <c r="I81" t="s">
        <v>5</v>
      </c>
      <c r="J81" t="s">
        <v>11</v>
      </c>
      <c r="K81" t="s">
        <v>308</v>
      </c>
      <c r="L81" t="s">
        <v>309</v>
      </c>
      <c r="M81" t="s">
        <v>20</v>
      </c>
      <c r="N81" t="s">
        <v>16</v>
      </c>
      <c r="O81" t="s">
        <v>17</v>
      </c>
      <c r="P81" t="s">
        <v>307</v>
      </c>
      <c r="AC81" s="28" t="s">
        <v>332</v>
      </c>
      <c r="AD81" s="28"/>
      <c r="AE81" s="28"/>
    </row>
    <row r="82" spans="1:35" x14ac:dyDescent="0.2">
      <c r="A82" t="s">
        <v>0</v>
      </c>
      <c r="B82">
        <f>LOOKUP(M4,AE$30:AE$77,AF$30:AF$77)</f>
        <v>1.220472440944882E-2</v>
      </c>
      <c r="C82" t="s">
        <v>2</v>
      </c>
      <c r="D82">
        <f>B82*25.4</f>
        <v>0.31</v>
      </c>
      <c r="E82" t="s">
        <v>303</v>
      </c>
      <c r="F82">
        <f>D82/1000</f>
        <v>3.1E-4</v>
      </c>
      <c r="G82" t="s">
        <v>304</v>
      </c>
      <c r="I82" s="2">
        <f>B86*B$5</f>
        <v>604.42027814458595</v>
      </c>
      <c r="J82" s="1">
        <f t="shared" ref="J82:J102" si="38">2*PI()*I82*1000000000/B$8</f>
        <v>12667.712312862071</v>
      </c>
      <c r="K82">
        <f t="shared" ref="K82:K102" si="39">(2*PI()*I82*1000000000*B$9*B$89/(2*B$88))^0.5</f>
        <v>0.199800859451357</v>
      </c>
      <c r="L82">
        <f>(J82^2-B$84^2)^0.5</f>
        <v>7600.6273877172453</v>
      </c>
      <c r="M82" s="1">
        <f t="shared" ref="M82:M102" si="40">K82/(F$82^3*F$83*L82*J82*B$11)*(2*F$83*PI()^2+F$82^3*J82^2)</f>
        <v>9.3524993057323513</v>
      </c>
      <c r="N82" s="1">
        <f t="shared" ref="N82:N102" si="41">M82*8.686</f>
        <v>81.235808969591204</v>
      </c>
      <c r="O82" s="1">
        <f t="shared" ref="O82:O102" si="42">N82/100</f>
        <v>0.81235808969591206</v>
      </c>
      <c r="P82" s="1">
        <f t="shared" ref="P82:P102" si="43">J82*B$11/L82</f>
        <v>627.88385568524404</v>
      </c>
      <c r="AC82" t="s">
        <v>333</v>
      </c>
    </row>
    <row r="83" spans="1:35" x14ac:dyDescent="0.2">
      <c r="A83" t="s">
        <v>1</v>
      </c>
      <c r="B83">
        <f>LOOKUP(M4,AE$30:AE$77,AG$30:AG$77)</f>
        <v>6.1023622047244102E-3</v>
      </c>
      <c r="C83" t="s">
        <v>2</v>
      </c>
      <c r="D83">
        <f>B83*25.4</f>
        <v>0.155</v>
      </c>
      <c r="E83" t="s">
        <v>303</v>
      </c>
      <c r="F83">
        <f>D83/1000</f>
        <v>1.55E-4</v>
      </c>
      <c r="G83" t="s">
        <v>304</v>
      </c>
      <c r="I83">
        <f>I82*B$7</f>
        <v>618.79247758315705</v>
      </c>
      <c r="J83" s="1">
        <f t="shared" si="38"/>
        <v>12968.931339380806</v>
      </c>
      <c r="K83">
        <f t="shared" si="39"/>
        <v>0.20216238457510924</v>
      </c>
      <c r="L83">
        <f t="shared" ref="L83:L102" si="44">(J83^2-B$84^2)^0.5</f>
        <v>8092.6992734843279</v>
      </c>
      <c r="M83" s="1">
        <f t="shared" si="40"/>
        <v>8.935951582630274</v>
      </c>
      <c r="N83" s="1">
        <f t="shared" si="41"/>
        <v>77.617675446726565</v>
      </c>
      <c r="O83" s="1">
        <f t="shared" si="42"/>
        <v>0.77617675446726564</v>
      </c>
      <c r="P83" s="1">
        <f t="shared" si="43"/>
        <v>603.72805203584255</v>
      </c>
      <c r="AC83" s="29"/>
      <c r="AD83" s="30"/>
      <c r="AE83" s="30" t="s">
        <v>334</v>
      </c>
      <c r="AF83" s="30"/>
      <c r="AG83" s="30"/>
      <c r="AH83" s="30" t="s">
        <v>335</v>
      </c>
      <c r="AI83" s="30" t="s">
        <v>336</v>
      </c>
    </row>
    <row r="84" spans="1:35" x14ac:dyDescent="0.2">
      <c r="A84" t="s">
        <v>9</v>
      </c>
      <c r="B84">
        <f>PI()/F82</f>
        <v>10134.169850289656</v>
      </c>
      <c r="C84" t="s">
        <v>305</v>
      </c>
      <c r="I84">
        <f t="shared" ref="I84:I102" si="45">I83*B$7</f>
        <v>633.50642617239555</v>
      </c>
      <c r="J84" s="1">
        <f t="shared" si="38"/>
        <v>13277.312898462333</v>
      </c>
      <c r="K84">
        <f t="shared" si="39"/>
        <v>0.2045518214952643</v>
      </c>
      <c r="L84">
        <f t="shared" si="44"/>
        <v>8578.2072281540477</v>
      </c>
      <c r="M84" s="1">
        <f t="shared" si="40"/>
        <v>8.5806574599141925</v>
      </c>
      <c r="N84" s="1">
        <f t="shared" si="41"/>
        <v>74.531590696814675</v>
      </c>
      <c r="O84" s="1">
        <f t="shared" si="42"/>
        <v>0.74531590696814676</v>
      </c>
      <c r="P84" s="1">
        <f t="shared" si="43"/>
        <v>583.10158713337023</v>
      </c>
      <c r="AC84" s="29" t="s">
        <v>337</v>
      </c>
      <c r="AD84" s="30" t="s">
        <v>338</v>
      </c>
      <c r="AE84" s="30" t="s">
        <v>339</v>
      </c>
      <c r="AF84" s="30" t="s">
        <v>340</v>
      </c>
      <c r="AG84" s="30" t="s">
        <v>341</v>
      </c>
      <c r="AH84" s="30" t="s">
        <v>342</v>
      </c>
      <c r="AI84" s="30"/>
    </row>
    <row r="85" spans="1:35" x14ac:dyDescent="0.2">
      <c r="A85" t="s">
        <v>306</v>
      </c>
      <c r="B85">
        <f>2*PI()/B84</f>
        <v>6.2E-4</v>
      </c>
      <c r="C85" t="s">
        <v>304</v>
      </c>
      <c r="I85">
        <f t="shared" si="45"/>
        <v>648.5702501898752</v>
      </c>
      <c r="J85" s="1">
        <f t="shared" si="38"/>
        <v>13593.027304290667</v>
      </c>
      <c r="K85">
        <f t="shared" si="39"/>
        <v>0.2069695001123473</v>
      </c>
      <c r="L85">
        <f t="shared" si="44"/>
        <v>9059.1938239929332</v>
      </c>
      <c r="M85" s="1">
        <f t="shared" si="40"/>
        <v>8.274344101883397</v>
      </c>
      <c r="N85" s="1">
        <f t="shared" si="41"/>
        <v>71.870952868959179</v>
      </c>
      <c r="O85" s="1">
        <f t="shared" si="42"/>
        <v>0.71870952868959181</v>
      </c>
      <c r="P85" s="1">
        <f t="shared" si="43"/>
        <v>565.27164955773105</v>
      </c>
      <c r="AC85" s="31" t="s">
        <v>343</v>
      </c>
      <c r="AD85" s="32" t="s">
        <v>344</v>
      </c>
      <c r="AE85" s="33">
        <v>195</v>
      </c>
      <c r="AF85" s="34">
        <f t="shared" ref="AF85:AF115" si="46">AE85/1000000</f>
        <v>1.95E-4</v>
      </c>
      <c r="AG85" s="34">
        <f>AF85/100</f>
        <v>1.95E-6</v>
      </c>
      <c r="AH85" s="34">
        <f t="shared" ref="AH85:AH115" si="47">1/AG85</f>
        <v>512820.51282051281</v>
      </c>
      <c r="AI85" s="35">
        <v>1</v>
      </c>
    </row>
    <row r="86" spans="1:35" x14ac:dyDescent="0.2">
      <c r="A86" t="s">
        <v>8</v>
      </c>
      <c r="B86" s="2">
        <f>B$8/B85/1000000000</f>
        <v>483.53622251566873</v>
      </c>
      <c r="C86" t="s">
        <v>35</v>
      </c>
      <c r="I86">
        <f t="shared" si="45"/>
        <v>663.99226914375129</v>
      </c>
      <c r="J86" s="1">
        <f t="shared" si="38"/>
        <v>13916.248920863356</v>
      </c>
      <c r="K86">
        <f t="shared" si="39"/>
        <v>0.20941575422610773</v>
      </c>
      <c r="L86">
        <f t="shared" si="44"/>
        <v>9537.3259078690735</v>
      </c>
      <c r="M86" s="1">
        <f t="shared" si="40"/>
        <v>8.007976985317665</v>
      </c>
      <c r="N86" s="1">
        <f t="shared" si="41"/>
        <v>69.557288094469243</v>
      </c>
      <c r="O86" s="1">
        <f t="shared" si="42"/>
        <v>0.69557288094469238</v>
      </c>
      <c r="P86" s="1">
        <f t="shared" si="43"/>
        <v>549.70049971121875</v>
      </c>
      <c r="AC86" s="31" t="s">
        <v>345</v>
      </c>
      <c r="AD86" s="32"/>
      <c r="AE86" s="33">
        <v>1</v>
      </c>
      <c r="AF86" s="34">
        <f t="shared" si="46"/>
        <v>9.9999999999999995E-7</v>
      </c>
      <c r="AG86" s="34">
        <f>AF86/100</f>
        <v>1E-8</v>
      </c>
      <c r="AH86" s="34">
        <f t="shared" si="47"/>
        <v>100000000</v>
      </c>
      <c r="AI86" s="35">
        <v>1</v>
      </c>
    </row>
    <row r="87" spans="1:35" x14ac:dyDescent="0.2">
      <c r="A87" t="s">
        <v>418</v>
      </c>
      <c r="B87" t="str">
        <f>M5</f>
        <v>Copper</v>
      </c>
      <c r="I87">
        <f t="shared" si="45"/>
        <v>679.78100036749186</v>
      </c>
      <c r="J87" s="1">
        <f t="shared" si="38"/>
        <v>14247.156258289921</v>
      </c>
      <c r="K87">
        <f t="shared" si="39"/>
        <v>0.21189092158160591</v>
      </c>
      <c r="L87">
        <f t="shared" si="44"/>
        <v>10013.993353982705</v>
      </c>
      <c r="M87" s="1">
        <f t="shared" si="40"/>
        <v>7.7747366346952775</v>
      </c>
      <c r="N87" s="1">
        <f t="shared" si="41"/>
        <v>67.531362408963176</v>
      </c>
      <c r="O87" s="1">
        <f t="shared" si="42"/>
        <v>0.6753136240896318</v>
      </c>
      <c r="P87" s="1">
        <f t="shared" si="43"/>
        <v>535.98354349501096</v>
      </c>
      <c r="AC87" s="31" t="s">
        <v>346</v>
      </c>
      <c r="AD87" s="32"/>
      <c r="AE87" s="33">
        <v>1</v>
      </c>
      <c r="AF87" s="34">
        <f t="shared" si="46"/>
        <v>9.9999999999999995E-7</v>
      </c>
      <c r="AG87" s="34">
        <f>AF87/100</f>
        <v>1E-8</v>
      </c>
      <c r="AH87" s="34">
        <f t="shared" si="47"/>
        <v>100000000</v>
      </c>
      <c r="AI87" s="35">
        <v>1</v>
      </c>
    </row>
    <row r="88" spans="1:35" x14ac:dyDescent="0.2">
      <c r="A88" t="s">
        <v>12</v>
      </c>
      <c r="B88" s="40">
        <f>LOOKUP(M5,$AC$85:$AC$115,$AH$85:$AH$115)</f>
        <v>59772863.120143451</v>
      </c>
      <c r="C88" t="s">
        <v>310</v>
      </c>
      <c r="I88">
        <f t="shared" si="45"/>
        <v>695.94516372386408</v>
      </c>
      <c r="J88" s="1">
        <f t="shared" si="38"/>
        <v>14585.93207138011</v>
      </c>
      <c r="K88">
        <f t="shared" si="39"/>
        <v>0.21439534391584419</v>
      </c>
      <c r="L88">
        <f t="shared" si="44"/>
        <v>10490.377297142128</v>
      </c>
      <c r="M88" s="1">
        <f t="shared" si="40"/>
        <v>7.5693648713658614</v>
      </c>
      <c r="N88" s="1">
        <f t="shared" si="41"/>
        <v>65.747503272683872</v>
      </c>
      <c r="O88" s="1">
        <f t="shared" si="42"/>
        <v>0.65747503272683872</v>
      </c>
      <c r="P88" s="1">
        <f t="shared" si="43"/>
        <v>523.80983114322351</v>
      </c>
      <c r="AC88" s="29" t="s">
        <v>347</v>
      </c>
      <c r="AD88" s="36" t="s">
        <v>348</v>
      </c>
      <c r="AE88" s="37" t="s">
        <v>349</v>
      </c>
      <c r="AF88" s="34">
        <f t="shared" si="46"/>
        <v>2.65E-6</v>
      </c>
      <c r="AG88" s="34">
        <f>AF88/100</f>
        <v>2.6499999999999999E-8</v>
      </c>
      <c r="AH88" s="34">
        <f t="shared" si="47"/>
        <v>37735849.056603774</v>
      </c>
      <c r="AI88" s="35">
        <v>1</v>
      </c>
    </row>
    <row r="89" spans="1:35" x14ac:dyDescent="0.2">
      <c r="A89" s="45" t="s">
        <v>434</v>
      </c>
      <c r="B89">
        <f>LOOKUP(M5,$AC$85:$AC$115,$AI$85:$AI$115)</f>
        <v>1</v>
      </c>
      <c r="I89">
        <f t="shared" si="45"/>
        <v>712.49368642077422</v>
      </c>
      <c r="J89" s="1">
        <f t="shared" si="38"/>
        <v>14932.763460576452</v>
      </c>
      <c r="K89">
        <f t="shared" si="39"/>
        <v>0.21692936700494925</v>
      </c>
      <c r="L89">
        <f t="shared" si="44"/>
        <v>10967.498621609549</v>
      </c>
      <c r="M89" s="1">
        <f t="shared" si="40"/>
        <v>7.3877325453716036</v>
      </c>
      <c r="N89" s="1">
        <f t="shared" si="41"/>
        <v>64.169844889097746</v>
      </c>
      <c r="O89" s="1">
        <f t="shared" si="42"/>
        <v>0.64169844889097749</v>
      </c>
      <c r="P89" s="1">
        <f t="shared" si="43"/>
        <v>512.93598045347994</v>
      </c>
      <c r="AC89" s="29" t="s">
        <v>350</v>
      </c>
      <c r="AD89" s="36"/>
      <c r="AE89" s="37"/>
      <c r="AF89" s="34"/>
      <c r="AG89" s="34"/>
      <c r="AH89" s="34">
        <v>15000000</v>
      </c>
      <c r="AI89" s="35"/>
    </row>
    <row r="90" spans="1:35" x14ac:dyDescent="0.2">
      <c r="I90">
        <f t="shared" si="45"/>
        <v>729.43570794162156</v>
      </c>
      <c r="J90" s="1">
        <f t="shared" si="38"/>
        <v>15287.841975286829</v>
      </c>
      <c r="K90">
        <f t="shared" si="39"/>
        <v>0.21949334071191209</v>
      </c>
      <c r="L90">
        <f t="shared" si="44"/>
        <v>11446.253260644811</v>
      </c>
      <c r="M90" s="1">
        <f t="shared" si="40"/>
        <v>7.2265451870967912</v>
      </c>
      <c r="N90" s="1">
        <f t="shared" si="41"/>
        <v>62.769771495122725</v>
      </c>
      <c r="O90" s="1">
        <f t="shared" si="42"/>
        <v>0.62769771495122728</v>
      </c>
      <c r="P90" s="1">
        <f t="shared" si="43"/>
        <v>503.16844888730338</v>
      </c>
      <c r="AC90" s="29" t="s">
        <v>351</v>
      </c>
      <c r="AD90" s="36"/>
      <c r="AE90" s="37"/>
      <c r="AF90" s="34"/>
      <c r="AG90" s="34"/>
      <c r="AH90" s="34">
        <v>10000000</v>
      </c>
      <c r="AI90" s="35"/>
    </row>
    <row r="91" spans="1:35" x14ac:dyDescent="0.2">
      <c r="B91" s="45"/>
      <c r="I91">
        <f t="shared" si="45"/>
        <v>746.78058509288826</v>
      </c>
      <c r="J91" s="1">
        <f t="shared" si="38"/>
        <v>15651.363719674135</v>
      </c>
      <c r="K91">
        <f t="shared" si="39"/>
        <v>0.22208761903489238</v>
      </c>
      <c r="L91">
        <f t="shared" si="44"/>
        <v>11927.438439623651</v>
      </c>
      <c r="M91" s="1">
        <f t="shared" si="40"/>
        <v>7.083137405714016</v>
      </c>
      <c r="N91" s="1">
        <f t="shared" si="41"/>
        <v>61.524131506031942</v>
      </c>
      <c r="O91" s="1">
        <f t="shared" si="42"/>
        <v>0.61524131506031943</v>
      </c>
      <c r="P91" s="1">
        <f t="shared" si="43"/>
        <v>494.3511709804082</v>
      </c>
      <c r="AC91" s="38" t="s">
        <v>352</v>
      </c>
      <c r="AD91" s="36" t="s">
        <v>144</v>
      </c>
      <c r="AE91" s="37" t="s">
        <v>353</v>
      </c>
      <c r="AF91" s="34">
        <f t="shared" si="46"/>
        <v>3.0000000000000001E-3</v>
      </c>
      <c r="AG91" s="34">
        <f t="shared" ref="AG91:AG107" si="48">AF91/100</f>
        <v>3.0000000000000001E-5</v>
      </c>
      <c r="AH91" s="34">
        <f t="shared" si="47"/>
        <v>33333.333333333336</v>
      </c>
      <c r="AI91" s="35">
        <v>1</v>
      </c>
    </row>
    <row r="92" spans="1:35" x14ac:dyDescent="0.2">
      <c r="I92">
        <f t="shared" si="45"/>
        <v>764.53789717175334</v>
      </c>
      <c r="J92" s="1">
        <f t="shared" si="38"/>
        <v>16023.529460961465</v>
      </c>
      <c r="K92">
        <f t="shared" si="39"/>
        <v>0.22471256015609362</v>
      </c>
      <c r="L92">
        <f t="shared" si="44"/>
        <v>12411.772549953537</v>
      </c>
      <c r="M92" s="1">
        <f t="shared" si="40"/>
        <v>6.9553260430534793</v>
      </c>
      <c r="N92" s="1">
        <f t="shared" si="41"/>
        <v>60.413962009962525</v>
      </c>
      <c r="O92" s="1">
        <f t="shared" si="42"/>
        <v>0.6041396200996253</v>
      </c>
      <c r="P92" s="1">
        <f t="shared" si="43"/>
        <v>486.35674328429019</v>
      </c>
      <c r="AC92" s="29" t="s">
        <v>354</v>
      </c>
      <c r="AD92" s="36" t="s">
        <v>355</v>
      </c>
      <c r="AE92" s="37" t="s">
        <v>356</v>
      </c>
      <c r="AF92" s="34">
        <f t="shared" si="46"/>
        <v>1.8E-5</v>
      </c>
      <c r="AG92" s="34">
        <f t="shared" si="48"/>
        <v>1.8E-7</v>
      </c>
      <c r="AH92" s="34">
        <f t="shared" si="47"/>
        <v>5555555.555555556</v>
      </c>
      <c r="AI92" s="35">
        <v>1</v>
      </c>
    </row>
    <row r="93" spans="1:35" x14ac:dyDescent="0.2">
      <c r="I93">
        <f t="shared" si="45"/>
        <v>782.71745125658458</v>
      </c>
      <c r="J93" s="1">
        <f t="shared" si="38"/>
        <v>16404.544740312613</v>
      </c>
      <c r="K93">
        <f t="shared" si="39"/>
        <v>0.22736852649121589</v>
      </c>
      <c r="L93">
        <f t="shared" si="44"/>
        <v>12899.910448619336</v>
      </c>
      <c r="M93" s="1">
        <f t="shared" si="40"/>
        <v>6.8413032109564691</v>
      </c>
      <c r="N93" s="1">
        <f t="shared" si="41"/>
        <v>59.423559690367888</v>
      </c>
      <c r="O93" s="1">
        <f t="shared" si="42"/>
        <v>0.59423559690367889</v>
      </c>
      <c r="P93" s="1">
        <f t="shared" si="43"/>
        <v>479.08001423735425</v>
      </c>
      <c r="AC93" s="29" t="s">
        <v>357</v>
      </c>
      <c r="AD93" s="36" t="s">
        <v>358</v>
      </c>
      <c r="AE93" s="37" t="s">
        <v>359</v>
      </c>
      <c r="AF93" s="34">
        <f t="shared" si="46"/>
        <v>1.6730000000000001E-6</v>
      </c>
      <c r="AG93" s="34">
        <f t="shared" si="48"/>
        <v>1.6730000000000002E-8</v>
      </c>
      <c r="AH93" s="34">
        <f t="shared" si="47"/>
        <v>59772863.120143451</v>
      </c>
      <c r="AI93" s="35">
        <v>1</v>
      </c>
    </row>
    <row r="94" spans="1:35" x14ac:dyDescent="0.2">
      <c r="I94">
        <f t="shared" si="45"/>
        <v>801.32928762323058</v>
      </c>
      <c r="J94" s="1">
        <f t="shared" si="38"/>
        <v>16794.619986349171</v>
      </c>
      <c r="K94">
        <f t="shared" si="39"/>
        <v>0.23005588473949337</v>
      </c>
      <c r="L94">
        <f t="shared" si="44"/>
        <v>13392.455410840803</v>
      </c>
      <c r="M94" s="1">
        <f t="shared" si="40"/>
        <v>6.7395570066887558</v>
      </c>
      <c r="N94" s="1">
        <f t="shared" si="41"/>
        <v>58.539792160098536</v>
      </c>
      <c r="O94" s="1">
        <f t="shared" si="42"/>
        <v>0.58539792160098536</v>
      </c>
      <c r="P94" s="1">
        <f t="shared" si="43"/>
        <v>472.43334078655005</v>
      </c>
      <c r="AC94" s="29" t="s">
        <v>360</v>
      </c>
      <c r="AD94" s="36" t="s">
        <v>361</v>
      </c>
      <c r="AE94" s="37" t="s">
        <v>362</v>
      </c>
      <c r="AF94" s="34">
        <f t="shared" si="46"/>
        <v>2.4399999999999999E-6</v>
      </c>
      <c r="AG94" s="34">
        <f t="shared" si="48"/>
        <v>2.44E-8</v>
      </c>
      <c r="AH94" s="34">
        <f t="shared" si="47"/>
        <v>40983606.557377048</v>
      </c>
      <c r="AI94" s="35">
        <v>1</v>
      </c>
    </row>
    <row r="95" spans="1:35" x14ac:dyDescent="0.2">
      <c r="I95">
        <f t="shared" si="45"/>
        <v>820.38368529010404</v>
      </c>
      <c r="J95" s="1">
        <f t="shared" si="38"/>
        <v>17193.970631366879</v>
      </c>
      <c r="K95">
        <f t="shared" si="39"/>
        <v>0.23277500593432304</v>
      </c>
      <c r="L95">
        <f t="shared" si="44"/>
        <v>13889.968593117368</v>
      </c>
      <c r="M95" s="1">
        <f t="shared" si="40"/>
        <v>6.6488118181752807</v>
      </c>
      <c r="N95" s="1">
        <f t="shared" si="41"/>
        <v>57.751579452670491</v>
      </c>
      <c r="O95" s="1">
        <f t="shared" si="42"/>
        <v>0.57751579452670487</v>
      </c>
      <c r="P95" s="1">
        <f t="shared" si="43"/>
        <v>466.34302311860955</v>
      </c>
      <c r="AC95" s="29" t="s">
        <v>363</v>
      </c>
      <c r="AD95" s="36" t="s">
        <v>364</v>
      </c>
      <c r="AE95" s="37" t="s">
        <v>365</v>
      </c>
      <c r="AF95" s="34">
        <f t="shared" si="46"/>
        <v>1.552E-5</v>
      </c>
      <c r="AG95" s="34">
        <f t="shared" si="48"/>
        <v>1.5520000000000001E-7</v>
      </c>
      <c r="AH95" s="34">
        <f t="shared" si="47"/>
        <v>6443298.969072164</v>
      </c>
      <c r="AI95" s="35">
        <v>1</v>
      </c>
    </row>
    <row r="96" spans="1:35" x14ac:dyDescent="0.2">
      <c r="I96">
        <f t="shared" si="45"/>
        <v>839.89116769511838</v>
      </c>
      <c r="J96" s="1">
        <f t="shared" si="38"/>
        <v>17602.817230315417</v>
      </c>
      <c r="K96">
        <f t="shared" si="39"/>
        <v>0.23552626549449182</v>
      </c>
      <c r="L96">
        <f t="shared" si="44"/>
        <v>14392.976616717246</v>
      </c>
      <c r="M96" s="1">
        <f t="shared" si="40"/>
        <v>6.5679827414755154</v>
      </c>
      <c r="N96" s="1">
        <f t="shared" si="41"/>
        <v>57.049498092456325</v>
      </c>
      <c r="O96" s="1">
        <f t="shared" si="42"/>
        <v>0.5704949809245633</v>
      </c>
      <c r="P96" s="1">
        <f t="shared" si="43"/>
        <v>460.74658694251218</v>
      </c>
      <c r="AC96" s="29" t="s">
        <v>366</v>
      </c>
      <c r="AD96" s="36" t="s">
        <v>367</v>
      </c>
      <c r="AE96" s="37" t="s">
        <v>368</v>
      </c>
      <c r="AF96" s="34">
        <f t="shared" si="46"/>
        <v>5.3000000000000001E-6</v>
      </c>
      <c r="AG96" s="34">
        <f t="shared" si="48"/>
        <v>5.2999999999999998E-8</v>
      </c>
      <c r="AH96" s="34">
        <f t="shared" si="47"/>
        <v>18867924.528301887</v>
      </c>
      <c r="AI96" s="35">
        <v>1</v>
      </c>
    </row>
    <row r="97" spans="1:35" x14ac:dyDescent="0.2">
      <c r="I97">
        <f t="shared" si="45"/>
        <v>859.86250850761348</v>
      </c>
      <c r="J97" s="1">
        <f t="shared" si="38"/>
        <v>18021.385582607345</v>
      </c>
      <c r="K97">
        <f t="shared" si="39"/>
        <v>0.23831004327600927</v>
      </c>
      <c r="L97">
        <f t="shared" si="44"/>
        <v>14901.977713125463</v>
      </c>
      <c r="M97" s="1">
        <f t="shared" si="40"/>
        <v>6.496140327808158</v>
      </c>
      <c r="N97" s="1">
        <f t="shared" si="41"/>
        <v>56.425474887341657</v>
      </c>
      <c r="O97" s="1">
        <f t="shared" si="42"/>
        <v>0.56425474887341653</v>
      </c>
      <c r="P97" s="1">
        <f t="shared" si="43"/>
        <v>455.59068529937099</v>
      </c>
      <c r="AC97" s="29" t="s">
        <v>369</v>
      </c>
      <c r="AD97" s="36" t="s">
        <v>370</v>
      </c>
      <c r="AE97" s="37" t="s">
        <v>371</v>
      </c>
      <c r="AF97" s="34">
        <f t="shared" si="46"/>
        <v>9.6600000000000007E-6</v>
      </c>
      <c r="AG97" s="34">
        <f t="shared" si="48"/>
        <v>9.6600000000000005E-8</v>
      </c>
      <c r="AH97" s="34">
        <f t="shared" si="47"/>
        <v>10351966.873706004</v>
      </c>
      <c r="AI97" s="30">
        <v>4000</v>
      </c>
    </row>
    <row r="98" spans="1:35" x14ac:dyDescent="0.2">
      <c r="A98" t="s">
        <v>331</v>
      </c>
      <c r="I98">
        <f t="shared" si="45"/>
        <v>880.30873757848076</v>
      </c>
      <c r="J98" s="1">
        <f t="shared" si="38"/>
        <v>18449.906856823534</v>
      </c>
      <c r="K98">
        <f t="shared" si="39"/>
        <v>0.24112672362455298</v>
      </c>
      <c r="L98">
        <f t="shared" si="44"/>
        <v>15417.446755897818</v>
      </c>
      <c r="M98" s="1">
        <f t="shared" si="40"/>
        <v>6.4324830013974372</v>
      </c>
      <c r="N98" s="1">
        <f t="shared" si="41"/>
        <v>55.872547350138142</v>
      </c>
      <c r="O98" s="1">
        <f t="shared" si="42"/>
        <v>0.55872547350138146</v>
      </c>
      <c r="P98" s="1">
        <f t="shared" si="43"/>
        <v>450.82945980784285</v>
      </c>
      <c r="AC98" s="29" t="s">
        <v>372</v>
      </c>
      <c r="AD98" s="36" t="s">
        <v>373</v>
      </c>
      <c r="AE98" s="37" t="s">
        <v>374</v>
      </c>
      <c r="AF98" s="34">
        <f t="shared" si="46"/>
        <v>2.0649999999999997E-5</v>
      </c>
      <c r="AG98" s="34">
        <f t="shared" si="48"/>
        <v>2.0649999999999998E-7</v>
      </c>
      <c r="AH98" s="34">
        <f t="shared" si="47"/>
        <v>4842615.0121065378</v>
      </c>
      <c r="AI98" s="30">
        <v>1</v>
      </c>
    </row>
    <row r="99" spans="1:35" ht="25.5" x14ac:dyDescent="0.2">
      <c r="I99">
        <f t="shared" si="45"/>
        <v>901.24114703177213</v>
      </c>
      <c r="J99" s="1">
        <f t="shared" si="38"/>
        <v>18888.617718383841</v>
      </c>
      <c r="K99">
        <f t="shared" si="39"/>
        <v>0.24397669542853354</v>
      </c>
      <c r="L99">
        <f t="shared" si="44"/>
        <v>15939.839420669334</v>
      </c>
      <c r="M99" s="1">
        <f t="shared" si="40"/>
        <v>6.3763152492285036</v>
      </c>
      <c r="N99" s="1">
        <f t="shared" si="41"/>
        <v>55.384674254798782</v>
      </c>
      <c r="O99" s="1">
        <f t="shared" si="42"/>
        <v>0.55384674254798782</v>
      </c>
      <c r="P99" s="1">
        <f t="shared" si="43"/>
        <v>446.42324713276651</v>
      </c>
      <c r="AC99" s="38" t="s">
        <v>375</v>
      </c>
      <c r="AD99" s="36" t="s">
        <v>376</v>
      </c>
      <c r="AE99" s="37" t="s">
        <v>377</v>
      </c>
      <c r="AF99" s="34">
        <f t="shared" si="46"/>
        <v>4.2000000000000004E-6</v>
      </c>
      <c r="AG99" s="34">
        <f t="shared" si="48"/>
        <v>4.2000000000000006E-8</v>
      </c>
      <c r="AH99" s="34">
        <f t="shared" si="47"/>
        <v>23809523.809523806</v>
      </c>
      <c r="AI99" s="30">
        <v>1</v>
      </c>
    </row>
    <row r="100" spans="1:35" x14ac:dyDescent="0.2">
      <c r="I100">
        <f t="shared" si="45"/>
        <v>922.67129750115919</v>
      </c>
      <c r="J100" s="1">
        <f t="shared" si="38"/>
        <v>19337.760460253601</v>
      </c>
      <c r="K100">
        <f t="shared" si="39"/>
        <v>0.24686035217278696</v>
      </c>
      <c r="L100">
        <f t="shared" si="44"/>
        <v>16469.595655741756</v>
      </c>
      <c r="M100" s="1">
        <f t="shared" si="40"/>
        <v>6.3270302065018518</v>
      </c>
      <c r="N100" s="1">
        <f t="shared" si="41"/>
        <v>54.956584373675085</v>
      </c>
      <c r="O100" s="1">
        <f t="shared" si="42"/>
        <v>0.54956584373675088</v>
      </c>
      <c r="P100" s="1">
        <f t="shared" si="43"/>
        <v>442.33754799688859</v>
      </c>
      <c r="AC100" s="29" t="s">
        <v>378</v>
      </c>
      <c r="AD100" s="36" t="s">
        <v>379</v>
      </c>
      <c r="AE100" s="37" t="s">
        <v>380</v>
      </c>
      <c r="AF100" s="34">
        <f t="shared" si="46"/>
        <v>8.7070000000000015E-6</v>
      </c>
      <c r="AG100" s="34">
        <f t="shared" si="48"/>
        <v>8.7070000000000011E-8</v>
      </c>
      <c r="AH100" s="34">
        <f t="shared" si="47"/>
        <v>11485012.059262661</v>
      </c>
      <c r="AI100" s="30">
        <v>150</v>
      </c>
    </row>
    <row r="101" spans="1:35" x14ac:dyDescent="0.2">
      <c r="I101">
        <f t="shared" si="45"/>
        <v>944.61102451468548</v>
      </c>
      <c r="J101" s="1">
        <f t="shared" si="38"/>
        <v>19797.58313675817</v>
      </c>
      <c r="K101">
        <f t="shared" si="39"/>
        <v>0.24977809199290166</v>
      </c>
      <c r="L101">
        <f t="shared" si="44"/>
        <v>17007.142602516498</v>
      </c>
      <c r="M101" s="1">
        <f t="shared" si="40"/>
        <v>6.2840956269494503</v>
      </c>
      <c r="N101" s="1">
        <f t="shared" si="41"/>
        <v>54.583654615682924</v>
      </c>
      <c r="O101" s="1">
        <f t="shared" si="42"/>
        <v>0.54583654615682919</v>
      </c>
      <c r="P101" s="1">
        <f t="shared" si="43"/>
        <v>438.54219807568052</v>
      </c>
      <c r="AC101" s="38" t="s">
        <v>381</v>
      </c>
      <c r="AD101" s="36" t="s">
        <v>382</v>
      </c>
      <c r="AE101" s="37" t="s">
        <v>383</v>
      </c>
      <c r="AF101" s="34">
        <f t="shared" si="46"/>
        <v>1.1E-4</v>
      </c>
      <c r="AG101" s="34">
        <f t="shared" si="48"/>
        <v>1.1000000000000001E-6</v>
      </c>
      <c r="AH101" s="34">
        <f t="shared" si="47"/>
        <v>909090.90909090906</v>
      </c>
      <c r="AI101" s="30">
        <v>1</v>
      </c>
    </row>
    <row r="102" spans="1:35" x14ac:dyDescent="0.2">
      <c r="I102">
        <f t="shared" si="45"/>
        <v>967.0724450313387</v>
      </c>
      <c r="J102" s="1">
        <f t="shared" si="38"/>
        <v>20268.339700579338</v>
      </c>
      <c r="K102">
        <f t="shared" si="39"/>
        <v>0.25273031773018756</v>
      </c>
      <c r="L102">
        <f t="shared" si="44"/>
        <v>17552.897073234395</v>
      </c>
      <c r="M102" s="1">
        <f t="shared" si="40"/>
        <v>6.2470424863427008</v>
      </c>
      <c r="N102" s="1">
        <f t="shared" si="41"/>
        <v>54.261811036372698</v>
      </c>
      <c r="O102" s="1">
        <f t="shared" si="42"/>
        <v>0.54261811036372698</v>
      </c>
      <c r="P102" s="1">
        <f t="shared" si="43"/>
        <v>435.0106957196349</v>
      </c>
      <c r="AC102" s="29" t="s">
        <v>384</v>
      </c>
      <c r="AD102" s="36" t="s">
        <v>385</v>
      </c>
      <c r="AE102" s="37" t="s">
        <v>386</v>
      </c>
      <c r="AF102" s="34">
        <f t="shared" si="46"/>
        <v>1.062E-5</v>
      </c>
      <c r="AG102" s="34">
        <f t="shared" si="48"/>
        <v>1.062E-7</v>
      </c>
      <c r="AH102" s="34">
        <f t="shared" si="47"/>
        <v>9416195.8568738233</v>
      </c>
      <c r="AI102" s="30">
        <v>1</v>
      </c>
    </row>
    <row r="103" spans="1:35" x14ac:dyDescent="0.2">
      <c r="AC103" s="29" t="s">
        <v>387</v>
      </c>
      <c r="AD103" s="36" t="s">
        <v>388</v>
      </c>
      <c r="AE103" s="37" t="s">
        <v>386</v>
      </c>
      <c r="AF103" s="34">
        <f t="shared" si="46"/>
        <v>1.062E-5</v>
      </c>
      <c r="AG103" s="34">
        <f t="shared" si="48"/>
        <v>1.062E-7</v>
      </c>
      <c r="AH103" s="34">
        <f t="shared" si="47"/>
        <v>9416195.8568738233</v>
      </c>
      <c r="AI103" s="30">
        <v>1</v>
      </c>
    </row>
    <row r="104" spans="1:35" x14ac:dyDescent="0.2">
      <c r="AC104" s="29" t="s">
        <v>389</v>
      </c>
      <c r="AD104" s="36" t="s">
        <v>390</v>
      </c>
      <c r="AE104" s="37" t="s">
        <v>391</v>
      </c>
      <c r="AF104" s="34">
        <f t="shared" si="46"/>
        <v>4.51E-6</v>
      </c>
      <c r="AG104" s="34">
        <f t="shared" si="48"/>
        <v>4.51E-8</v>
      </c>
      <c r="AH104" s="34">
        <f t="shared" si="47"/>
        <v>22172949.002217297</v>
      </c>
      <c r="AI104" s="30">
        <v>1</v>
      </c>
    </row>
    <row r="105" spans="1:35" x14ac:dyDescent="0.2">
      <c r="AC105" s="30" t="s">
        <v>392</v>
      </c>
      <c r="AD105" s="36" t="s">
        <v>393</v>
      </c>
      <c r="AE105" s="39">
        <v>2000000000</v>
      </c>
      <c r="AF105" s="34">
        <f t="shared" si="46"/>
        <v>2000</v>
      </c>
      <c r="AG105" s="34">
        <f t="shared" si="48"/>
        <v>20</v>
      </c>
      <c r="AH105" s="34">
        <f t="shared" si="47"/>
        <v>0.05</v>
      </c>
      <c r="AI105" s="30">
        <v>1</v>
      </c>
    </row>
    <row r="106" spans="1:35" x14ac:dyDescent="0.2">
      <c r="A106" t="s">
        <v>462</v>
      </c>
      <c r="B106" t="str">
        <f>O4</f>
        <v>WR1.5</v>
      </c>
      <c r="I106" t="s">
        <v>5</v>
      </c>
      <c r="J106" t="s">
        <v>11</v>
      </c>
      <c r="K106" t="s">
        <v>308</v>
      </c>
      <c r="L106" t="s">
        <v>309</v>
      </c>
      <c r="M106" t="s">
        <v>20</v>
      </c>
      <c r="N106" t="s">
        <v>16</v>
      </c>
      <c r="O106" t="s">
        <v>17</v>
      </c>
      <c r="P106" t="s">
        <v>307</v>
      </c>
      <c r="AC106" s="30" t="s">
        <v>394</v>
      </c>
      <c r="AD106" s="36" t="s">
        <v>393</v>
      </c>
      <c r="AE106" s="39">
        <v>2000000</v>
      </c>
      <c r="AF106" s="34">
        <f t="shared" si="46"/>
        <v>2</v>
      </c>
      <c r="AG106" s="34">
        <f t="shared" si="48"/>
        <v>0.02</v>
      </c>
      <c r="AH106" s="34">
        <f t="shared" si="47"/>
        <v>50</v>
      </c>
      <c r="AI106" s="30">
        <v>1</v>
      </c>
    </row>
    <row r="107" spans="1:35" x14ac:dyDescent="0.2">
      <c r="A107" t="s">
        <v>0</v>
      </c>
      <c r="B107">
        <f>LOOKUP(O4,AE$30:AE$77,AF$30:AF$77)</f>
        <v>1.4960629921259842E-2</v>
      </c>
      <c r="C107" t="s">
        <v>2</v>
      </c>
      <c r="D107">
        <f>B107*25.4</f>
        <v>0.37999999999999995</v>
      </c>
      <c r="E107" t="s">
        <v>303</v>
      </c>
      <c r="F107">
        <f>D107/1000</f>
        <v>3.7999999999999997E-4</v>
      </c>
      <c r="G107" t="s">
        <v>304</v>
      </c>
      <c r="I107" s="2">
        <f>B111*B$5</f>
        <v>493.07970059163597</v>
      </c>
      <c r="J107" s="1">
        <f t="shared" ref="J107:J127" si="49">2*PI()*I107*1000000000/B$8</f>
        <v>10334.186360492744</v>
      </c>
      <c r="K107">
        <f t="shared" ref="K107:K127" si="50">(2*PI()*I107*1000000000*B$9*B$114/(2*B$113))^0.5</f>
        <v>0.18046226362802487</v>
      </c>
      <c r="L107">
        <f>(J107^2-B$109^2)^0.5</f>
        <v>6200.5118162956478</v>
      </c>
      <c r="M107" s="1">
        <f t="shared" ref="M107:M127" si="51">K107/(F$107^3*F$108*L107*J107*B$11)*(2*F$108*PI()^2+F$107^3*J107^2)</f>
        <v>6.8911996197933281</v>
      </c>
      <c r="N107" s="1">
        <f t="shared" ref="N107:N127" si="52">M107*8.686</f>
        <v>59.856959897524845</v>
      </c>
      <c r="O107" s="1">
        <f t="shared" ref="O107:O127" si="53">N107/100</f>
        <v>0.59856959897524842</v>
      </c>
      <c r="P107" s="1">
        <f t="shared" ref="P107:P127" si="54">J107*B$11/L107</f>
        <v>627.88385568524416</v>
      </c>
      <c r="AC107" s="29" t="s">
        <v>395</v>
      </c>
      <c r="AD107" s="36" t="s">
        <v>396</v>
      </c>
      <c r="AE107" s="37" t="s">
        <v>397</v>
      </c>
      <c r="AF107" s="34">
        <f t="shared" si="46"/>
        <v>1.59E-6</v>
      </c>
      <c r="AG107" s="34">
        <f t="shared" si="48"/>
        <v>1.59E-8</v>
      </c>
      <c r="AH107" s="34">
        <f t="shared" si="47"/>
        <v>62893081.761006288</v>
      </c>
      <c r="AI107" s="30">
        <v>1</v>
      </c>
    </row>
    <row r="108" spans="1:35" x14ac:dyDescent="0.2">
      <c r="A108" t="s">
        <v>1</v>
      </c>
      <c r="B108">
        <f>LOOKUP(O4,AE$30:AE$77,AG$30:AG$77)</f>
        <v>7.4803149606299212E-3</v>
      </c>
      <c r="C108" t="s">
        <v>2</v>
      </c>
      <c r="D108">
        <f>B108*25.4</f>
        <v>0.18999999999999997</v>
      </c>
      <c r="E108" t="s">
        <v>303</v>
      </c>
      <c r="F108">
        <f>D108/1000</f>
        <v>1.8999999999999998E-4</v>
      </c>
      <c r="G108" t="s">
        <v>304</v>
      </c>
      <c r="I108">
        <f>I107*B$7</f>
        <v>504.80438960731243</v>
      </c>
      <c r="J108" s="1">
        <f t="shared" si="49"/>
        <v>10579.917671600135</v>
      </c>
      <c r="K108">
        <f t="shared" si="50"/>
        <v>0.18259521826404101</v>
      </c>
      <c r="L108">
        <f t="shared" ref="L108:L127" si="55">(J108^2-B$109^2)^0.5</f>
        <v>6601.9388810003766</v>
      </c>
      <c r="M108" s="1">
        <f t="shared" si="51"/>
        <v>6.5842748698168752</v>
      </c>
      <c r="N108" s="1">
        <f t="shared" si="52"/>
        <v>57.191011519229377</v>
      </c>
      <c r="O108" s="1">
        <f t="shared" si="53"/>
        <v>0.57191011519229373</v>
      </c>
      <c r="P108" s="1">
        <f t="shared" si="54"/>
        <v>603.72805203584244</v>
      </c>
      <c r="AC108" s="29" t="s">
        <v>398</v>
      </c>
      <c r="AD108" s="36"/>
      <c r="AE108" s="37"/>
      <c r="AF108" s="34"/>
      <c r="AG108" s="34"/>
      <c r="AH108" s="34">
        <v>1100000</v>
      </c>
      <c r="AI108" s="30"/>
    </row>
    <row r="109" spans="1:35" x14ac:dyDescent="0.2">
      <c r="A109" t="s">
        <v>9</v>
      </c>
      <c r="B109">
        <f>PI()/F107</f>
        <v>8267.349088394194</v>
      </c>
      <c r="C109" t="s">
        <v>305</v>
      </c>
      <c r="I109">
        <f t="shared" ref="I109:I127" si="56">I108*B$7</f>
        <v>516.8078739827439</v>
      </c>
      <c r="J109" s="1">
        <f t="shared" si="49"/>
        <v>10831.492101377169</v>
      </c>
      <c r="K109">
        <f t="shared" si="50"/>
        <v>0.1847533831317579</v>
      </c>
      <c r="L109">
        <f t="shared" si="55"/>
        <v>6998.0111598098847</v>
      </c>
      <c r="M109" s="1">
        <f t="shared" si="51"/>
        <v>6.3224835942083173</v>
      </c>
      <c r="N109" s="1">
        <f t="shared" si="52"/>
        <v>54.917092499293446</v>
      </c>
      <c r="O109" s="1">
        <f t="shared" si="53"/>
        <v>0.54917092499293441</v>
      </c>
      <c r="P109" s="1">
        <f t="shared" si="54"/>
        <v>583.10158713337</v>
      </c>
      <c r="AC109" s="29" t="s">
        <v>399</v>
      </c>
      <c r="AD109" s="36" t="s">
        <v>400</v>
      </c>
      <c r="AE109" s="37" t="s">
        <v>365</v>
      </c>
      <c r="AF109" s="34">
        <f t="shared" si="46"/>
        <v>1.552E-5</v>
      </c>
      <c r="AG109" s="34">
        <f t="shared" ref="AG109:AG115" si="57">AF109/100</f>
        <v>1.5520000000000001E-7</v>
      </c>
      <c r="AH109" s="34">
        <f t="shared" si="47"/>
        <v>6443298.969072164</v>
      </c>
      <c r="AI109" s="30">
        <v>1</v>
      </c>
    </row>
    <row r="110" spans="1:35" ht="25.5" x14ac:dyDescent="0.2">
      <c r="A110" t="s">
        <v>306</v>
      </c>
      <c r="B110">
        <f>2*PI()/B109</f>
        <v>7.5999999999999983E-4</v>
      </c>
      <c r="C110" t="s">
        <v>304</v>
      </c>
      <c r="I110">
        <f t="shared" si="56"/>
        <v>529.09678304963518</v>
      </c>
      <c r="J110" s="1">
        <f t="shared" si="49"/>
        <v>11089.048590342389</v>
      </c>
      <c r="K110">
        <f t="shared" si="50"/>
        <v>0.18693705620084244</v>
      </c>
      <c r="L110">
        <f t="shared" si="55"/>
        <v>7390.3949616784494</v>
      </c>
      <c r="M110" s="1">
        <f t="shared" si="51"/>
        <v>6.0967828026449693</v>
      </c>
      <c r="N110" s="1">
        <f t="shared" si="52"/>
        <v>52.956655423774201</v>
      </c>
      <c r="O110" s="1">
        <f t="shared" si="53"/>
        <v>0.52956655423774202</v>
      </c>
      <c r="P110" s="1">
        <f t="shared" si="54"/>
        <v>565.27164955773094</v>
      </c>
      <c r="AC110" s="38" t="s">
        <v>401</v>
      </c>
      <c r="AD110" s="36" t="s">
        <v>402</v>
      </c>
      <c r="AE110" s="37" t="s">
        <v>403</v>
      </c>
      <c r="AF110" s="34">
        <f t="shared" si="46"/>
        <v>2.52E-4</v>
      </c>
      <c r="AG110" s="34">
        <f t="shared" si="57"/>
        <v>2.52E-6</v>
      </c>
      <c r="AH110" s="34">
        <f t="shared" si="47"/>
        <v>396825.39682539681</v>
      </c>
      <c r="AI110" s="30">
        <v>1</v>
      </c>
    </row>
    <row r="111" spans="1:35" x14ac:dyDescent="0.2">
      <c r="A111" t="s">
        <v>8</v>
      </c>
      <c r="B111" s="2">
        <f>B$8/B110/1000000000</f>
        <v>394.46376047330875</v>
      </c>
      <c r="C111" t="s">
        <v>35</v>
      </c>
      <c r="I111">
        <f t="shared" si="56"/>
        <v>541.67790377516565</v>
      </c>
      <c r="J111" s="1">
        <f t="shared" si="49"/>
        <v>11352.729382809583</v>
      </c>
      <c r="K111">
        <f t="shared" si="50"/>
        <v>0.18914653896278247</v>
      </c>
      <c r="L111">
        <f t="shared" si="55"/>
        <v>7780.4500827353004</v>
      </c>
      <c r="M111" s="1">
        <f t="shared" si="51"/>
        <v>5.9005155897430512</v>
      </c>
      <c r="N111" s="1">
        <f t="shared" si="52"/>
        <v>51.251878412508141</v>
      </c>
      <c r="O111" s="1">
        <f t="shared" si="53"/>
        <v>0.51251878412508145</v>
      </c>
      <c r="P111" s="1">
        <f t="shared" si="54"/>
        <v>549.70049971121853</v>
      </c>
      <c r="AC111" s="29" t="s">
        <v>404</v>
      </c>
      <c r="AD111" s="36" t="s">
        <v>405</v>
      </c>
      <c r="AE111" s="37" t="s">
        <v>406</v>
      </c>
      <c r="AF111" s="34">
        <f t="shared" si="46"/>
        <v>1.1550000000000001E-5</v>
      </c>
      <c r="AG111" s="34">
        <f t="shared" si="57"/>
        <v>1.1550000000000001E-7</v>
      </c>
      <c r="AH111" s="34">
        <f t="shared" si="47"/>
        <v>8658008.6580086574</v>
      </c>
      <c r="AI111" s="30">
        <v>1</v>
      </c>
    </row>
    <row r="112" spans="1:35" x14ac:dyDescent="0.2">
      <c r="A112" t="s">
        <v>418</v>
      </c>
      <c r="B112" t="str">
        <f>O5</f>
        <v>Copper</v>
      </c>
      <c r="I112">
        <f t="shared" si="56"/>
        <v>554.55818451032246</v>
      </c>
      <c r="J112" s="1">
        <f t="shared" si="49"/>
        <v>11622.680105447045</v>
      </c>
      <c r="K112">
        <f t="shared" si="50"/>
        <v>0.19138213647251259</v>
      </c>
      <c r="L112">
        <f t="shared" si="55"/>
        <v>8169.3103677227391</v>
      </c>
      <c r="M112" s="1">
        <f t="shared" si="51"/>
        <v>5.7286571631357042</v>
      </c>
      <c r="N112" s="1">
        <f t="shared" si="52"/>
        <v>49.759116118996729</v>
      </c>
      <c r="O112" s="1">
        <f t="shared" si="53"/>
        <v>0.49759116118996727</v>
      </c>
      <c r="P112" s="1">
        <f t="shared" si="54"/>
        <v>535.98354349501074</v>
      </c>
      <c r="AC112" s="29" t="s">
        <v>407</v>
      </c>
      <c r="AD112" s="36" t="s">
        <v>408</v>
      </c>
      <c r="AE112" s="37" t="s">
        <v>409</v>
      </c>
      <c r="AF112" s="34">
        <f t="shared" si="46"/>
        <v>5.5000000000000002E-5</v>
      </c>
      <c r="AG112" s="34">
        <f t="shared" si="57"/>
        <v>5.5000000000000003E-7</v>
      </c>
      <c r="AH112" s="34">
        <f t="shared" si="47"/>
        <v>1818181.8181818181</v>
      </c>
      <c r="AI112" s="30">
        <v>1</v>
      </c>
    </row>
    <row r="113" spans="1:35" x14ac:dyDescent="0.2">
      <c r="A113" t="s">
        <v>12</v>
      </c>
      <c r="B113" s="40">
        <f>LOOKUP(O5,$AC$85:$AC$115,$AH$85:$AH$115)</f>
        <v>59772863.120143451</v>
      </c>
      <c r="C113" t="s">
        <v>310</v>
      </c>
      <c r="I113">
        <f t="shared" si="56"/>
        <v>567.74473882736288</v>
      </c>
      <c r="J113" s="1">
        <f t="shared" si="49"/>
        <v>11899.04984770483</v>
      </c>
      <c r="K113">
        <f t="shared" si="50"/>
        <v>0.19364415739053198</v>
      </c>
      <c r="L113">
        <f t="shared" si="55"/>
        <v>8557.9393739843727</v>
      </c>
      <c r="M113" s="1">
        <f t="shared" si="51"/>
        <v>5.5773331404218505</v>
      </c>
      <c r="N113" s="1">
        <f t="shared" si="52"/>
        <v>48.444715657704194</v>
      </c>
      <c r="O113" s="1">
        <f t="shared" si="53"/>
        <v>0.48444715657704196</v>
      </c>
      <c r="P113" s="1">
        <f t="shared" si="54"/>
        <v>523.80983114322328</v>
      </c>
      <c r="AC113" s="29" t="s">
        <v>410</v>
      </c>
      <c r="AD113" s="36" t="s">
        <v>265</v>
      </c>
      <c r="AE113" s="37" t="s">
        <v>411</v>
      </c>
      <c r="AF113" s="34">
        <f t="shared" si="46"/>
        <v>5.5999999999999997E-6</v>
      </c>
      <c r="AG113" s="34">
        <f t="shared" si="57"/>
        <v>5.5999999999999999E-8</v>
      </c>
      <c r="AH113" s="34">
        <f t="shared" si="47"/>
        <v>17857142.857142858</v>
      </c>
      <c r="AI113" s="30">
        <v>1</v>
      </c>
    </row>
    <row r="114" spans="1:35" x14ac:dyDescent="0.2">
      <c r="A114" s="45" t="s">
        <v>434</v>
      </c>
      <c r="B114">
        <f>LOOKUP(O5,$AC$85:$AC$115,$AI$85:$AI$115)</f>
        <v>1</v>
      </c>
      <c r="I114">
        <f t="shared" si="56"/>
        <v>581.24484944852645</v>
      </c>
      <c r="J114" s="1">
        <f t="shared" si="49"/>
        <v>12181.991244154477</v>
      </c>
      <c r="K114">
        <f t="shared" si="50"/>
        <v>0.19593291402551985</v>
      </c>
      <c r="L114">
        <f t="shared" si="55"/>
        <v>8947.169928155161</v>
      </c>
      <c r="M114" s="1">
        <f t="shared" si="51"/>
        <v>5.4435010411169493</v>
      </c>
      <c r="N114" s="1">
        <f t="shared" si="52"/>
        <v>47.282250043141822</v>
      </c>
      <c r="O114" s="1">
        <f t="shared" si="53"/>
        <v>0.47282250043141821</v>
      </c>
      <c r="P114" s="1">
        <f t="shared" si="54"/>
        <v>512.93598045347983</v>
      </c>
      <c r="AC114" s="29" t="s">
        <v>412</v>
      </c>
      <c r="AD114" s="36" t="s">
        <v>413</v>
      </c>
      <c r="AE114" s="37" t="s">
        <v>414</v>
      </c>
      <c r="AF114" s="34">
        <f t="shared" si="46"/>
        <v>5.6799999999999998E-6</v>
      </c>
      <c r="AG114" s="34">
        <f t="shared" si="57"/>
        <v>5.6799999999999999E-8</v>
      </c>
      <c r="AH114" s="34">
        <f t="shared" si="47"/>
        <v>17605633.802816901</v>
      </c>
      <c r="AI114" s="30">
        <v>1</v>
      </c>
    </row>
    <row r="115" spans="1:35" x14ac:dyDescent="0.2">
      <c r="I115">
        <f t="shared" si="56"/>
        <v>595.06597226816507</v>
      </c>
      <c r="J115" s="1">
        <f t="shared" si="49"/>
        <v>12471.660558786625</v>
      </c>
      <c r="K115">
        <f t="shared" si="50"/>
        <v>0.19824872237745492</v>
      </c>
      <c r="L115">
        <f t="shared" si="55"/>
        <v>9337.7329231576132</v>
      </c>
      <c r="M115" s="1">
        <f t="shared" si="51"/>
        <v>5.3247334020348402</v>
      </c>
      <c r="N115" s="1">
        <f t="shared" si="52"/>
        <v>46.250634330074625</v>
      </c>
      <c r="O115" s="1">
        <f t="shared" si="53"/>
        <v>0.46250634330074625</v>
      </c>
      <c r="P115" s="1">
        <f t="shared" si="54"/>
        <v>503.16844888730321</v>
      </c>
      <c r="AC115" s="29" t="s">
        <v>415</v>
      </c>
      <c r="AD115" s="36" t="s">
        <v>416</v>
      </c>
      <c r="AE115" s="37" t="s">
        <v>417</v>
      </c>
      <c r="AF115" s="34">
        <f t="shared" si="46"/>
        <v>4.0999999999999997E-6</v>
      </c>
      <c r="AG115" s="34">
        <f t="shared" si="57"/>
        <v>4.0999999999999997E-8</v>
      </c>
      <c r="AH115" s="34">
        <f t="shared" si="47"/>
        <v>24390243.902439028</v>
      </c>
      <c r="AI115" s="30">
        <v>1</v>
      </c>
    </row>
    <row r="116" spans="1:35" x14ac:dyDescent="0.2">
      <c r="B116" s="45"/>
      <c r="I116">
        <f t="shared" si="56"/>
        <v>609.21574047051422</v>
      </c>
      <c r="J116" s="1">
        <f t="shared" si="49"/>
        <v>12768.217771313113</v>
      </c>
      <c r="K116">
        <f t="shared" si="50"/>
        <v>0.20059190218124409</v>
      </c>
      <c r="L116">
        <f t="shared" si="55"/>
        <v>9730.2787270614044</v>
      </c>
      <c r="M116" s="1">
        <f t="shared" si="51"/>
        <v>5.2190662839485915</v>
      </c>
      <c r="N116" s="1">
        <f t="shared" si="52"/>
        <v>45.332809742377464</v>
      </c>
      <c r="O116" s="1">
        <f t="shared" si="53"/>
        <v>0.45332809742377461</v>
      </c>
      <c r="P116" s="1">
        <f t="shared" si="54"/>
        <v>494.35117098040814</v>
      </c>
    </row>
    <row r="117" spans="1:35" x14ac:dyDescent="0.2">
      <c r="I117">
        <f t="shared" si="56"/>
        <v>623.70196874537783</v>
      </c>
      <c r="J117" s="1">
        <f t="shared" si="49"/>
        <v>13071.826665521196</v>
      </c>
      <c r="K117">
        <f t="shared" si="50"/>
        <v>0.20296277695086734</v>
      </c>
      <c r="L117">
        <f t="shared" si="55"/>
        <v>10125.393396014728</v>
      </c>
      <c r="M117" s="1">
        <f t="shared" si="51"/>
        <v>5.124891070994372</v>
      </c>
      <c r="N117" s="1">
        <f t="shared" si="52"/>
        <v>44.514803842657116</v>
      </c>
      <c r="O117" s="1">
        <f t="shared" si="53"/>
        <v>0.44514803842657114</v>
      </c>
      <c r="P117" s="1">
        <f t="shared" si="54"/>
        <v>486.35674328429025</v>
      </c>
    </row>
    <row r="118" spans="1:35" x14ac:dyDescent="0.2">
      <c r="I118">
        <f t="shared" si="56"/>
        <v>638.53265760405588</v>
      </c>
      <c r="J118" s="1">
        <f t="shared" si="49"/>
        <v>13382.654919728711</v>
      </c>
      <c r="K118">
        <f t="shared" si="50"/>
        <v>0.20536167402404376</v>
      </c>
      <c r="L118">
        <f t="shared" si="55"/>
        <v>10523.611155452618</v>
      </c>
      <c r="M118" s="1">
        <f t="shared" si="51"/>
        <v>5.0408756574125633</v>
      </c>
      <c r="N118" s="1">
        <f t="shared" si="52"/>
        <v>43.785045960285522</v>
      </c>
      <c r="O118" s="1">
        <f t="shared" si="53"/>
        <v>0.43785045960285524</v>
      </c>
      <c r="P118" s="1">
        <f t="shared" si="54"/>
        <v>479.08001423735425</v>
      </c>
    </row>
    <row r="119" spans="1:35" x14ac:dyDescent="0.2">
      <c r="I119">
        <f t="shared" si="56"/>
        <v>653.71599779789869</v>
      </c>
      <c r="J119" s="1">
        <f t="shared" si="49"/>
        <v>13700.874199390115</v>
      </c>
      <c r="K119">
        <f t="shared" si="50"/>
        <v>0.2077889246074261</v>
      </c>
      <c r="L119">
        <f t="shared" si="55"/>
        <v>10925.42415094908</v>
      </c>
      <c r="M119" s="1">
        <f t="shared" si="51"/>
        <v>4.9659060283065406</v>
      </c>
      <c r="N119" s="1">
        <f t="shared" si="52"/>
        <v>43.13385976187061</v>
      </c>
      <c r="O119" s="1">
        <f t="shared" si="53"/>
        <v>0.43133859761870608</v>
      </c>
      <c r="P119" s="1">
        <f t="shared" si="54"/>
        <v>472.43334078654988</v>
      </c>
    </row>
    <row r="120" spans="1:35" x14ac:dyDescent="0.2">
      <c r="I120">
        <f t="shared" si="56"/>
        <v>669.26037484192705</v>
      </c>
      <c r="J120" s="1">
        <f t="shared" si="49"/>
        <v>14026.660251904561</v>
      </c>
      <c r="K120">
        <f t="shared" si="50"/>
        <v>0.21024486382232901</v>
      </c>
      <c r="L120">
        <f t="shared" si="55"/>
        <v>11331.290168069434</v>
      </c>
      <c r="M120" s="1">
        <f t="shared" si="51"/>
        <v>4.8990422747643345</v>
      </c>
      <c r="N120" s="1">
        <f t="shared" si="52"/>
        <v>42.55308119860301</v>
      </c>
      <c r="O120" s="1">
        <f t="shared" si="53"/>
        <v>0.4255308119860301</v>
      </c>
      <c r="P120" s="1">
        <f t="shared" si="54"/>
        <v>466.34302311860955</v>
      </c>
    </row>
    <row r="121" spans="1:35" x14ac:dyDescent="0.2">
      <c r="I121">
        <f t="shared" si="56"/>
        <v>685.17437364601767</v>
      </c>
      <c r="J121" s="1">
        <f t="shared" si="49"/>
        <v>14360.193003678367</v>
      </c>
      <c r="K121">
        <f t="shared" si="50"/>
        <v>0.21272983075099824</v>
      </c>
      <c r="L121">
        <f t="shared" si="55"/>
        <v>11741.638818900912</v>
      </c>
      <c r="M121" s="1">
        <f t="shared" si="51"/>
        <v>4.8394850072989142</v>
      </c>
      <c r="N121" s="1">
        <f t="shared" si="52"/>
        <v>42.035766773398372</v>
      </c>
      <c r="O121" s="1">
        <f t="shared" si="53"/>
        <v>0.4203576677339837</v>
      </c>
      <c r="P121" s="1">
        <f t="shared" si="54"/>
        <v>460.74658694251212</v>
      </c>
    </row>
    <row r="122" spans="1:35" x14ac:dyDescent="0.2">
      <c r="I122">
        <f t="shared" si="56"/>
        <v>701.4667832562111</v>
      </c>
      <c r="J122" s="1">
        <f t="shared" si="49"/>
        <v>14701.656659495464</v>
      </c>
      <c r="K122">
        <f t="shared" si="50"/>
        <v>0.21524416848342598</v>
      </c>
      <c r="L122">
        <f t="shared" si="55"/>
        <v>12156.876555444454</v>
      </c>
      <c r="M122" s="1">
        <f t="shared" si="51"/>
        <v>4.7865493804076014</v>
      </c>
      <c r="N122" s="1">
        <f t="shared" si="52"/>
        <v>41.575967918220428</v>
      </c>
      <c r="O122" s="1">
        <f t="shared" si="53"/>
        <v>0.4157596791822043</v>
      </c>
      <c r="P122" s="1">
        <f t="shared" si="54"/>
        <v>455.59068529937099</v>
      </c>
    </row>
    <row r="123" spans="1:35" x14ac:dyDescent="0.2">
      <c r="A123" t="s">
        <v>331</v>
      </c>
      <c r="I123">
        <f t="shared" si="56"/>
        <v>718.14660170876073</v>
      </c>
      <c r="J123" s="1">
        <f t="shared" si="49"/>
        <v>15051.239804250785</v>
      </c>
      <c r="K123">
        <f t="shared" si="50"/>
        <v>0.21778822416472066</v>
      </c>
      <c r="L123">
        <f t="shared" si="55"/>
        <v>12577.390774548228</v>
      </c>
      <c r="M123" s="1">
        <f t="shared" si="51"/>
        <v>4.7396447692209671</v>
      </c>
      <c r="N123" s="1">
        <f t="shared" si="52"/>
        <v>41.168554465453319</v>
      </c>
      <c r="O123" s="1">
        <f t="shared" si="53"/>
        <v>0.41168554465453316</v>
      </c>
      <c r="P123" s="1">
        <f t="shared" si="54"/>
        <v>450.82945980784274</v>
      </c>
    </row>
    <row r="124" spans="1:35" x14ac:dyDescent="0.2">
      <c r="I124">
        <f t="shared" si="56"/>
        <v>735.22304099960365</v>
      </c>
      <c r="J124" s="1">
        <f t="shared" si="49"/>
        <v>15409.13550710261</v>
      </c>
      <c r="K124">
        <f t="shared" si="50"/>
        <v>0.2203623490430352</v>
      </c>
      <c r="L124">
        <f t="shared" si="55"/>
        <v>13003.55321159867</v>
      </c>
      <c r="M124" s="1">
        <f t="shared" si="51"/>
        <v>4.6982586990660131</v>
      </c>
      <c r="N124" s="1">
        <f t="shared" si="52"/>
        <v>40.809075060087387</v>
      </c>
      <c r="O124" s="1">
        <f t="shared" si="53"/>
        <v>0.40809075060087385</v>
      </c>
      <c r="P124" s="1">
        <f t="shared" si="54"/>
        <v>446.42324713276651</v>
      </c>
    </row>
    <row r="125" spans="1:35" x14ac:dyDescent="0.2">
      <c r="I125">
        <f t="shared" si="56"/>
        <v>752.70553217199836</v>
      </c>
      <c r="J125" s="1">
        <f t="shared" si="49"/>
        <v>15775.541428101622</v>
      </c>
      <c r="K125">
        <f t="shared" si="50"/>
        <v>0.22296689851806328</v>
      </c>
      <c r="L125">
        <f t="shared" si="55"/>
        <v>13435.722771789326</v>
      </c>
      <c r="M125" s="1">
        <f t="shared" si="51"/>
        <v>4.6619440139110795</v>
      </c>
      <c r="N125" s="1">
        <f t="shared" si="52"/>
        <v>40.493645704831636</v>
      </c>
      <c r="O125" s="1">
        <f t="shared" si="53"/>
        <v>0.40493645704831638</v>
      </c>
      <c r="P125" s="1">
        <f t="shared" si="54"/>
        <v>442.33754799688859</v>
      </c>
    </row>
    <row r="126" spans="1:35" x14ac:dyDescent="0.2">
      <c r="I126">
        <f t="shared" si="56"/>
        <v>770.6037305251383</v>
      </c>
      <c r="J126" s="1">
        <f t="shared" si="49"/>
        <v>16150.659927355351</v>
      </c>
      <c r="K126">
        <f t="shared" si="50"/>
        <v>0.22560223219010744</v>
      </c>
      <c r="L126">
        <f t="shared" si="55"/>
        <v>13874.247912579249</v>
      </c>
      <c r="M126" s="1">
        <f t="shared" si="51"/>
        <v>4.6303085388775624</v>
      </c>
      <c r="N126" s="1">
        <f t="shared" si="52"/>
        <v>40.218859968690509</v>
      </c>
      <c r="O126" s="1">
        <f t="shared" si="53"/>
        <v>0.40218859968690507</v>
      </c>
      <c r="P126" s="1">
        <f t="shared" si="54"/>
        <v>438.54219807568057</v>
      </c>
    </row>
    <row r="127" spans="1:35" x14ac:dyDescent="0.2">
      <c r="I127">
        <f t="shared" si="56"/>
        <v>788.92752094661864</v>
      </c>
      <c r="J127" s="1">
        <f t="shared" si="49"/>
        <v>16534.698176788414</v>
      </c>
      <c r="K127">
        <f t="shared" si="50"/>
        <v>0.22826871390972805</v>
      </c>
      <c r="L127">
        <f t="shared" si="55"/>
        <v>14319.468665007014</v>
      </c>
      <c r="M127" s="1">
        <f t="shared" si="51"/>
        <v>4.6030066829656473</v>
      </c>
      <c r="N127" s="1">
        <f t="shared" si="52"/>
        <v>39.981716048239612</v>
      </c>
      <c r="O127" s="1">
        <f t="shared" si="53"/>
        <v>0.39981716048239613</v>
      </c>
      <c r="P127" s="1">
        <f t="shared" si="54"/>
        <v>435.01069571963484</v>
      </c>
    </row>
    <row r="131" spans="1:16" x14ac:dyDescent="0.2">
      <c r="A131" t="s">
        <v>462</v>
      </c>
      <c r="B131" t="str">
        <f>Q4</f>
        <v>WR1.9</v>
      </c>
      <c r="I131" t="s">
        <v>5</v>
      </c>
      <c r="J131" t="s">
        <v>11</v>
      </c>
      <c r="K131" t="s">
        <v>308</v>
      </c>
      <c r="L131" t="s">
        <v>309</v>
      </c>
      <c r="M131" t="s">
        <v>20</v>
      </c>
      <c r="N131" t="s">
        <v>16</v>
      </c>
      <c r="O131" t="s">
        <v>17</v>
      </c>
      <c r="P131" t="s">
        <v>307</v>
      </c>
    </row>
    <row r="132" spans="1:16" x14ac:dyDescent="0.2">
      <c r="A132" t="s">
        <v>0</v>
      </c>
      <c r="B132">
        <f>LOOKUP(Q4,AE$30:AE$77,AF$30:AF$77)</f>
        <v>1.8503937007874019E-2</v>
      </c>
      <c r="C132" t="s">
        <v>2</v>
      </c>
      <c r="D132">
        <f>B132*25.4</f>
        <v>0.47000000000000003</v>
      </c>
      <c r="E132" t="s">
        <v>303</v>
      </c>
      <c r="F132">
        <f>D132/1000</f>
        <v>4.7000000000000004E-4</v>
      </c>
      <c r="G132" t="s">
        <v>304</v>
      </c>
      <c r="I132" s="2">
        <f>B136*B$5</f>
        <v>398.66018345706726</v>
      </c>
      <c r="J132" s="1">
        <f t="shared" ref="J132:J152" si="58">2*PI()*I132*1000000000/B$8</f>
        <v>8355.2996106111514</v>
      </c>
      <c r="K132">
        <f t="shared" ref="K132:K152" si="59">(2*PI()*I132*1000000000*B$9*B$139/(2*B$138))^0.5</f>
        <v>0.16226664990546624</v>
      </c>
      <c r="L132">
        <f>(J132^2-B$134^2)^0.5</f>
        <v>5013.1797663666912</v>
      </c>
      <c r="M132" s="1">
        <f t="shared" ref="M132:M152" si="60">K132/(F$132^3*F$133*L132*J132*B$11)*(2*F$133*PI()^2+F$132^3*J132^2)</f>
        <v>5.0098351840950102</v>
      </c>
      <c r="N132" s="1">
        <f t="shared" ref="N132:N152" si="61">M132*8.686</f>
        <v>43.515428409049257</v>
      </c>
      <c r="O132" s="1">
        <f t="shared" ref="O132:O152" si="62">N132/100</f>
        <v>0.43515428409049256</v>
      </c>
      <c r="P132" s="1">
        <f t="shared" ref="P132:P152" si="63">J132*B$11/L132</f>
        <v>627.88385568524416</v>
      </c>
    </row>
    <row r="133" spans="1:16" x14ac:dyDescent="0.2">
      <c r="A133" t="s">
        <v>1</v>
      </c>
      <c r="B133">
        <f>LOOKUP(Q4,AE$30:AE$77,AG$30:AG$77)</f>
        <v>9.2519685039370095E-3</v>
      </c>
      <c r="C133" t="s">
        <v>2</v>
      </c>
      <c r="D133">
        <f>B133*25.4</f>
        <v>0.23500000000000001</v>
      </c>
      <c r="E133" t="s">
        <v>303</v>
      </c>
      <c r="F133">
        <f>D133/1000</f>
        <v>2.3500000000000002E-4</v>
      </c>
      <c r="G133" t="s">
        <v>304</v>
      </c>
      <c r="I133">
        <f>I132*B$7</f>
        <v>408.13971925697587</v>
      </c>
      <c r="J133" s="1">
        <f t="shared" si="58"/>
        <v>8553.9759898043612</v>
      </c>
      <c r="K133">
        <f t="shared" si="59"/>
        <v>0.16418454340978403</v>
      </c>
      <c r="L133">
        <f t="shared" ref="L133:L152" si="64">(J133^2-B$134^2)^0.5</f>
        <v>5337.7378186811529</v>
      </c>
      <c r="M133" s="1">
        <f t="shared" si="60"/>
        <v>4.7867038722570685</v>
      </c>
      <c r="N133" s="1">
        <f t="shared" si="61"/>
        <v>41.577309834424895</v>
      </c>
      <c r="O133" s="1">
        <f t="shared" si="62"/>
        <v>0.41577309834424897</v>
      </c>
      <c r="P133" s="1">
        <f t="shared" si="63"/>
        <v>603.72805203584244</v>
      </c>
    </row>
    <row r="134" spans="1:16" x14ac:dyDescent="0.2">
      <c r="A134" t="s">
        <v>9</v>
      </c>
      <c r="B134">
        <f>PI()/F132</f>
        <v>6684.2396884889213</v>
      </c>
      <c r="C134" t="s">
        <v>305</v>
      </c>
      <c r="I134">
        <f t="shared" ref="I134:I152" si="65">I133*B$7</f>
        <v>417.84466407115445</v>
      </c>
      <c r="J134" s="1">
        <f t="shared" si="58"/>
        <v>8757.3765926028136</v>
      </c>
      <c r="K134">
        <f t="shared" si="59"/>
        <v>0.16612510525350518</v>
      </c>
      <c r="L134">
        <f t="shared" si="64"/>
        <v>5657.9664696335203</v>
      </c>
      <c r="M134" s="1">
        <f t="shared" si="60"/>
        <v>4.5963841578686182</v>
      </c>
      <c r="N134" s="1">
        <f t="shared" si="61"/>
        <v>39.924192795246817</v>
      </c>
      <c r="O134" s="1">
        <f t="shared" si="62"/>
        <v>0.39924192795246816</v>
      </c>
      <c r="P134" s="1">
        <f t="shared" si="63"/>
        <v>583.10158713337012</v>
      </c>
    </row>
    <row r="135" spans="1:16" x14ac:dyDescent="0.2">
      <c r="A135" t="s">
        <v>306</v>
      </c>
      <c r="B135">
        <f>2*PI()/B134</f>
        <v>9.4000000000000008E-4</v>
      </c>
      <c r="C135" t="s">
        <v>304</v>
      </c>
      <c r="I135">
        <f t="shared" si="65"/>
        <v>427.78037778481121</v>
      </c>
      <c r="J135" s="1">
        <f t="shared" si="58"/>
        <v>8965.6137538938419</v>
      </c>
      <c r="K135">
        <f t="shared" si="59"/>
        <v>0.16808860336266948</v>
      </c>
      <c r="L135">
        <f t="shared" si="64"/>
        <v>5975.2129477400185</v>
      </c>
      <c r="M135" s="1">
        <f t="shared" si="60"/>
        <v>4.4323018748065488</v>
      </c>
      <c r="N135" s="1">
        <f t="shared" si="61"/>
        <v>38.498974084569682</v>
      </c>
      <c r="O135" s="1">
        <f t="shared" si="62"/>
        <v>0.38498974084569682</v>
      </c>
      <c r="P135" s="1">
        <f t="shared" si="63"/>
        <v>565.27164955773105</v>
      </c>
    </row>
    <row r="136" spans="1:16" x14ac:dyDescent="0.2">
      <c r="A136" t="s">
        <v>8</v>
      </c>
      <c r="B136" s="2">
        <f>B$8/B135/1000000000</f>
        <v>318.92814676565382</v>
      </c>
      <c r="C136" t="s">
        <v>35</v>
      </c>
      <c r="I136">
        <f t="shared" si="65"/>
        <v>437.95234773311245</v>
      </c>
      <c r="J136" s="1">
        <f t="shared" si="58"/>
        <v>9178.8024797183825</v>
      </c>
      <c r="K136">
        <f t="shared" si="59"/>
        <v>0.17007530883004013</v>
      </c>
      <c r="L136">
        <f t="shared" si="64"/>
        <v>6290.5766626370478</v>
      </c>
      <c r="M136" s="1">
        <f t="shared" si="60"/>
        <v>4.289617517520468</v>
      </c>
      <c r="N136" s="1">
        <f t="shared" si="61"/>
        <v>37.259617757182788</v>
      </c>
      <c r="O136" s="1">
        <f t="shared" si="62"/>
        <v>0.37259617757182789</v>
      </c>
      <c r="P136" s="1">
        <f t="shared" si="63"/>
        <v>549.70049971121864</v>
      </c>
    </row>
    <row r="137" spans="1:16" x14ac:dyDescent="0.2">
      <c r="A137" t="s">
        <v>418</v>
      </c>
      <c r="B137" t="str">
        <f>Q5</f>
        <v>Copper</v>
      </c>
      <c r="I137">
        <f t="shared" si="65"/>
        <v>448.36619173174984</v>
      </c>
      <c r="J137" s="1">
        <f t="shared" si="58"/>
        <v>9397.0605107869669</v>
      </c>
      <c r="K137">
        <f t="shared" si="59"/>
        <v>0.1720854959525327</v>
      </c>
      <c r="L137">
        <f t="shared" si="64"/>
        <v>6604.9743398609307</v>
      </c>
      <c r="M137" s="1">
        <f t="shared" si="60"/>
        <v>4.1646781107693256</v>
      </c>
      <c r="N137" s="1">
        <f t="shared" si="61"/>
        <v>36.174394070142363</v>
      </c>
      <c r="O137" s="1">
        <f t="shared" si="62"/>
        <v>0.36174394070142363</v>
      </c>
      <c r="P137" s="1">
        <f t="shared" si="63"/>
        <v>535.98354349501096</v>
      </c>
    </row>
    <row r="138" spans="1:16" x14ac:dyDescent="0.2">
      <c r="A138" t="s">
        <v>12</v>
      </c>
      <c r="B138" s="40">
        <f>LOOKUP(Q5,$AC$85:$AC$115,$AH$85:$AH$115)</f>
        <v>59772863.120143451</v>
      </c>
      <c r="C138" t="s">
        <v>310</v>
      </c>
      <c r="I138">
        <f t="shared" si="65"/>
        <v>459.0276611795698</v>
      </c>
      <c r="J138" s="1">
        <f t="shared" si="58"/>
        <v>9620.5083875060282</v>
      </c>
      <c r="K138">
        <f t="shared" si="59"/>
        <v>0.17411944226908602</v>
      </c>
      <c r="L138">
        <f t="shared" si="64"/>
        <v>6919.1850257745937</v>
      </c>
      <c r="M138" s="1">
        <f t="shared" si="60"/>
        <v>4.0546670161823704</v>
      </c>
      <c r="N138" s="1">
        <f t="shared" si="61"/>
        <v>35.218837702560066</v>
      </c>
      <c r="O138" s="1">
        <f t="shared" si="62"/>
        <v>0.35218837702560069</v>
      </c>
      <c r="P138" s="1">
        <f t="shared" si="63"/>
        <v>523.80983114322339</v>
      </c>
    </row>
    <row r="139" spans="1:16" x14ac:dyDescent="0.2">
      <c r="A139" s="45" t="s">
        <v>434</v>
      </c>
      <c r="B139">
        <f>LOOKUP(Q5,$AC$85:$AC$115,$AI$85:$AI$115)</f>
        <v>1</v>
      </c>
      <c r="I139">
        <f t="shared" si="65"/>
        <v>469.94264423497862</v>
      </c>
      <c r="J139" s="1">
        <f t="shared" si="58"/>
        <v>9849.2695165504228</v>
      </c>
      <c r="K139">
        <f t="shared" si="59"/>
        <v>0.17617742859898106</v>
      </c>
      <c r="L139">
        <f t="shared" si="64"/>
        <v>7233.8820695722516</v>
      </c>
      <c r="M139" s="1">
        <f t="shared" si="60"/>
        <v>3.9573723800012903</v>
      </c>
      <c r="N139" s="1">
        <f t="shared" si="61"/>
        <v>34.373736492691208</v>
      </c>
      <c r="O139" s="1">
        <f t="shared" si="62"/>
        <v>0.34373736492691209</v>
      </c>
      <c r="P139" s="1">
        <f t="shared" si="63"/>
        <v>512.93598045348006</v>
      </c>
    </row>
    <row r="140" spans="1:16" x14ac:dyDescent="0.2">
      <c r="I140">
        <f t="shared" si="65"/>
        <v>481.11716906787797</v>
      </c>
      <c r="J140" s="1">
        <f t="shared" si="58"/>
        <v>10083.47023901897</v>
      </c>
      <c r="K140">
        <f t="shared" si="59"/>
        <v>0.17825973908061266</v>
      </c>
      <c r="L140">
        <f t="shared" si="64"/>
        <v>7549.6564059572156</v>
      </c>
      <c r="M140" s="1">
        <f t="shared" si="60"/>
        <v>3.8710294600695496</v>
      </c>
      <c r="N140" s="1">
        <f t="shared" si="61"/>
        <v>33.623761890164111</v>
      </c>
      <c r="O140" s="1">
        <f t="shared" si="62"/>
        <v>0.33623761890164111</v>
      </c>
      <c r="P140" s="1">
        <f t="shared" si="63"/>
        <v>503.16844888730333</v>
      </c>
    </row>
    <row r="141" spans="1:16" x14ac:dyDescent="0.2">
      <c r="B141" s="45"/>
      <c r="I141">
        <f t="shared" si="65"/>
        <v>492.55740718892622</v>
      </c>
      <c r="J141" s="1">
        <f t="shared" si="58"/>
        <v>10323.239900210598</v>
      </c>
      <c r="K141">
        <f t="shared" si="59"/>
        <v>0.18036666121071929</v>
      </c>
      <c r="L141">
        <f t="shared" si="64"/>
        <v>7867.0338644326202</v>
      </c>
      <c r="M141" s="1">
        <f t="shared" si="60"/>
        <v>3.7942104916464183</v>
      </c>
      <c r="N141" s="1">
        <f t="shared" si="61"/>
        <v>32.956512330440788</v>
      </c>
      <c r="O141" s="1">
        <f t="shared" si="62"/>
        <v>0.3295651233044079</v>
      </c>
      <c r="P141" s="1">
        <f t="shared" si="63"/>
        <v>494.3511709804082</v>
      </c>
    </row>
    <row r="142" spans="1:16" x14ac:dyDescent="0.2">
      <c r="I142">
        <f t="shared" si="65"/>
        <v>504.2696768579649</v>
      </c>
      <c r="J142" s="1">
        <f t="shared" si="58"/>
        <v>10568.710921059686</v>
      </c>
      <c r="K142">
        <f t="shared" si="59"/>
        <v>0.18249848588407669</v>
      </c>
      <c r="L142">
        <f t="shared" si="64"/>
        <v>8186.488277628926</v>
      </c>
      <c r="M142" s="1">
        <f t="shared" si="60"/>
        <v>3.7257460266246007</v>
      </c>
      <c r="N142" s="1">
        <f t="shared" si="61"/>
        <v>32.361829987261281</v>
      </c>
      <c r="O142" s="1">
        <f t="shared" si="62"/>
        <v>0.32361829987261281</v>
      </c>
      <c r="P142" s="1">
        <f t="shared" si="63"/>
        <v>486.35674328429025</v>
      </c>
    </row>
    <row r="143" spans="1:16" x14ac:dyDescent="0.2">
      <c r="I143">
        <f t="shared" si="65"/>
        <v>516.26044657349189</v>
      </c>
      <c r="J143" s="1">
        <f t="shared" si="58"/>
        <v>10820.01887127002</v>
      </c>
      <c r="K143">
        <f t="shared" si="59"/>
        <v>0.18465550743366077</v>
      </c>
      <c r="L143">
        <f t="shared" si="64"/>
        <v>8508.4515724936045</v>
      </c>
      <c r="M143" s="1">
        <f t="shared" si="60"/>
        <v>3.6646676370566236</v>
      </c>
      <c r="N143" s="1">
        <f t="shared" si="61"/>
        <v>31.831303095473832</v>
      </c>
      <c r="O143" s="1">
        <f t="shared" si="62"/>
        <v>0.31831303095473834</v>
      </c>
      <c r="P143" s="1">
        <f t="shared" si="63"/>
        <v>479.08001423735419</v>
      </c>
    </row>
    <row r="144" spans="1:16" x14ac:dyDescent="0.2">
      <c r="I144">
        <f t="shared" si="65"/>
        <v>528.53633864510948</v>
      </c>
      <c r="J144" s="1">
        <f t="shared" si="58"/>
        <v>11077.302544187753</v>
      </c>
      <c r="K144">
        <f t="shared" si="59"/>
        <v>0.18683802367128471</v>
      </c>
      <c r="L144">
        <f t="shared" si="64"/>
        <v>8833.321653958832</v>
      </c>
      <c r="M144" s="1">
        <f t="shared" si="60"/>
        <v>3.6101654449339131</v>
      </c>
      <c r="N144" s="1">
        <f t="shared" si="61"/>
        <v>31.357897054695968</v>
      </c>
      <c r="O144" s="1">
        <f t="shared" si="62"/>
        <v>0.31357897054695966</v>
      </c>
      <c r="P144" s="1">
        <f t="shared" si="63"/>
        <v>472.43334078654982</v>
      </c>
    </row>
    <row r="145" spans="1:16" x14ac:dyDescent="0.2">
      <c r="I145">
        <f t="shared" si="65"/>
        <v>541.10413285091965</v>
      </c>
      <c r="J145" s="1">
        <f t="shared" si="58"/>
        <v>11340.704033454751</v>
      </c>
      <c r="K145">
        <f t="shared" si="59"/>
        <v>0.18904633592871711</v>
      </c>
      <c r="L145">
        <f t="shared" si="64"/>
        <v>9161.468646524223</v>
      </c>
      <c r="M145" s="1">
        <f t="shared" si="60"/>
        <v>3.5615561456075309</v>
      </c>
      <c r="N145" s="1">
        <f t="shared" si="61"/>
        <v>30.935676680747012</v>
      </c>
      <c r="O145" s="1">
        <f t="shared" si="62"/>
        <v>0.3093567668074701</v>
      </c>
      <c r="P145" s="1">
        <f t="shared" si="63"/>
        <v>466.34302311860955</v>
      </c>
    </row>
    <row r="146" spans="1:16" x14ac:dyDescent="0.2">
      <c r="I146">
        <f t="shared" si="65"/>
        <v>553.97077018188656</v>
      </c>
      <c r="J146" s="1">
        <f t="shared" si="58"/>
        <v>11610.368811484634</v>
      </c>
      <c r="K146">
        <f t="shared" si="59"/>
        <v>0.19128074909928539</v>
      </c>
      <c r="L146">
        <f t="shared" si="64"/>
        <v>9493.2398961326489</v>
      </c>
      <c r="M146" s="1">
        <f t="shared" si="60"/>
        <v>3.5182585906854804</v>
      </c>
      <c r="N146" s="1">
        <f t="shared" si="61"/>
        <v>30.559594118694083</v>
      </c>
      <c r="O146" s="1">
        <f t="shared" si="62"/>
        <v>0.30559594118694083</v>
      </c>
      <c r="P146" s="1">
        <f t="shared" si="63"/>
        <v>460.74658694251218</v>
      </c>
    </row>
    <row r="147" spans="1:16" x14ac:dyDescent="0.2">
      <c r="I147">
        <f t="shared" si="65"/>
        <v>567.14335667523437</v>
      </c>
      <c r="J147" s="1">
        <f t="shared" si="58"/>
        <v>11886.445809804844</v>
      </c>
      <c r="K147">
        <f t="shared" si="59"/>
        <v>0.19354157167997144</v>
      </c>
      <c r="L147">
        <f t="shared" si="64"/>
        <v>9828.9640235508359</v>
      </c>
      <c r="M147" s="1">
        <f t="shared" si="60"/>
        <v>3.4797749041397426</v>
      </c>
      <c r="N147" s="1">
        <f t="shared" si="61"/>
        <v>30.225324817357805</v>
      </c>
      <c r="O147" s="1">
        <f t="shared" si="62"/>
        <v>0.30225324817357807</v>
      </c>
      <c r="P147" s="1">
        <f t="shared" si="63"/>
        <v>455.59068529937105</v>
      </c>
    </row>
    <row r="148" spans="1:16" x14ac:dyDescent="0.2">
      <c r="A148" t="s">
        <v>331</v>
      </c>
      <c r="I148">
        <f t="shared" si="65"/>
        <v>580.62916733899783</v>
      </c>
      <c r="J148" s="1">
        <f t="shared" si="58"/>
        <v>12169.087501309139</v>
      </c>
      <c r="K148">
        <f t="shared" si="59"/>
        <v>0.19582911581400467</v>
      </c>
      <c r="L148">
        <f t="shared" si="64"/>
        <v>10168.954243251754</v>
      </c>
      <c r="M148" s="1">
        <f t="shared" si="60"/>
        <v>3.445675707427438</v>
      </c>
      <c r="N148" s="1">
        <f t="shared" si="61"/>
        <v>29.929139194714725</v>
      </c>
      <c r="O148" s="1">
        <f t="shared" si="62"/>
        <v>0.29929139194714727</v>
      </c>
      <c r="P148" s="1">
        <f t="shared" si="63"/>
        <v>450.82945980784268</v>
      </c>
    </row>
    <row r="149" spans="1:16" x14ac:dyDescent="0.2">
      <c r="I149">
        <f t="shared" si="65"/>
        <v>594.43565016989214</v>
      </c>
      <c r="J149" s="1">
        <f t="shared" si="58"/>
        <v>12458.449984465935</v>
      </c>
      <c r="K149">
        <f t="shared" si="59"/>
        <v>0.19814369733395831</v>
      </c>
      <c r="L149">
        <f t="shared" si="64"/>
        <v>10513.511107249984</v>
      </c>
      <c r="M149" s="1">
        <f t="shared" si="60"/>
        <v>3.4155884364393523</v>
      </c>
      <c r="N149" s="1">
        <f t="shared" si="61"/>
        <v>29.667801158912212</v>
      </c>
      <c r="O149" s="1">
        <f t="shared" si="62"/>
        <v>0.2966780115891221</v>
      </c>
      <c r="P149" s="1">
        <f t="shared" si="63"/>
        <v>446.42324713276651</v>
      </c>
    </row>
    <row r="150" spans="1:16" x14ac:dyDescent="0.2">
      <c r="I150">
        <f t="shared" si="65"/>
        <v>608.57043026672193</v>
      </c>
      <c r="J150" s="1">
        <f t="shared" si="58"/>
        <v>12754.693069528968</v>
      </c>
      <c r="K150">
        <f t="shared" si="59"/>
        <v>0.20048563580535522</v>
      </c>
      <c r="L150">
        <f t="shared" si="64"/>
        <v>10862.924794212646</v>
      </c>
      <c r="M150" s="1">
        <f t="shared" si="60"/>
        <v>3.3891880130840386</v>
      </c>
      <c r="N150" s="1">
        <f t="shared" si="61"/>
        <v>29.43848708164796</v>
      </c>
      <c r="O150" s="1">
        <f t="shared" si="62"/>
        <v>0.29438487081647957</v>
      </c>
      <c r="P150" s="1">
        <f t="shared" si="63"/>
        <v>442.33754799688853</v>
      </c>
    </row>
    <row r="151" spans="1:16" x14ac:dyDescent="0.2">
      <c r="I151">
        <f t="shared" si="65"/>
        <v>623.04131404160103</v>
      </c>
      <c r="J151" s="1">
        <f t="shared" si="58"/>
        <v>13057.980366797941</v>
      </c>
      <c r="K151">
        <f t="shared" si="59"/>
        <v>0.20285525457078932</v>
      </c>
      <c r="L151">
        <f t="shared" si="64"/>
        <v>11217.47703570237</v>
      </c>
      <c r="M151" s="1">
        <f t="shared" si="60"/>
        <v>3.3661893300342474</v>
      </c>
      <c r="N151" s="1">
        <f t="shared" si="61"/>
        <v>29.238720520677472</v>
      </c>
      <c r="O151" s="1">
        <f t="shared" si="62"/>
        <v>0.29238720520677469</v>
      </c>
      <c r="P151" s="1">
        <f t="shared" si="63"/>
        <v>438.54219807568057</v>
      </c>
    </row>
    <row r="152" spans="1:16" x14ac:dyDescent="0.2">
      <c r="I152">
        <f t="shared" si="65"/>
        <v>637.85629353130844</v>
      </c>
      <c r="J152" s="1">
        <f t="shared" si="58"/>
        <v>13368.479376977859</v>
      </c>
      <c r="K152">
        <f t="shared" si="59"/>
        <v>0.20525288079456788</v>
      </c>
      <c r="L152">
        <f t="shared" si="64"/>
        <v>11577.442750431195</v>
      </c>
      <c r="M152" s="1">
        <f t="shared" si="60"/>
        <v>3.3463411459901011</v>
      </c>
      <c r="N152" s="1">
        <f t="shared" si="61"/>
        <v>29.066319194070019</v>
      </c>
      <c r="O152" s="1">
        <f t="shared" si="62"/>
        <v>0.29066319194070017</v>
      </c>
      <c r="P152" s="1">
        <f t="shared" si="63"/>
        <v>435.0106957196349</v>
      </c>
    </row>
    <row r="156" spans="1:16" x14ac:dyDescent="0.2">
      <c r="A156" t="s">
        <v>462</v>
      </c>
      <c r="B156" t="str">
        <f>S4</f>
        <v>WR2.2</v>
      </c>
      <c r="I156" t="s">
        <v>5</v>
      </c>
      <c r="J156" t="s">
        <v>11</v>
      </c>
      <c r="K156" t="s">
        <v>308</v>
      </c>
      <c r="L156" t="s">
        <v>309</v>
      </c>
      <c r="M156" t="s">
        <v>20</v>
      </c>
      <c r="N156" t="s">
        <v>16</v>
      </c>
      <c r="O156" t="s">
        <v>17</v>
      </c>
      <c r="P156" t="s">
        <v>307</v>
      </c>
    </row>
    <row r="157" spans="1:16" x14ac:dyDescent="0.2">
      <c r="A157" t="s">
        <v>0</v>
      </c>
      <c r="B157">
        <f>LOOKUP(S4,AE$30:AE$77,AF$30:AF$77)</f>
        <v>2.2440944881889767E-2</v>
      </c>
      <c r="C157" t="s">
        <v>2</v>
      </c>
      <c r="D157">
        <f>B157*25.4</f>
        <v>0.57000000000000006</v>
      </c>
      <c r="E157" t="s">
        <v>303</v>
      </c>
      <c r="F157">
        <f>D157/1000</f>
        <v>5.7000000000000009E-4</v>
      </c>
      <c r="G157" t="s">
        <v>304</v>
      </c>
      <c r="I157" s="2">
        <f>B161*B$5</f>
        <v>328.71980039442383</v>
      </c>
      <c r="J157" s="1">
        <f t="shared" ref="J157:J177" si="66">2*PI()*I157*1000000000/B$8</f>
        <v>6889.4575736618253</v>
      </c>
      <c r="K157">
        <f t="shared" ref="K157:K177" si="67">(2*PI()*I157*1000000000*B$9*B$164/(2*B$163))^0.5</f>
        <v>0.14734682123876019</v>
      </c>
      <c r="L157">
        <f>(J157^2-B$159^2)^0.5</f>
        <v>4133.6745441970934</v>
      </c>
      <c r="M157" s="1">
        <f t="shared" ref="M157:M177" si="68">K157/(F$157^3*F$158*L157*J157*B$11)*(2*F$158*PI()^2+F$157^3*J157^2)</f>
        <v>3.7510939520344682</v>
      </c>
      <c r="N157" s="1">
        <f t="shared" ref="N157:N177" si="69">M157*8.686</f>
        <v>32.582002067371391</v>
      </c>
      <c r="O157" s="1">
        <f t="shared" ref="O157:O177" si="70">N157/100</f>
        <v>0.32582002067371391</v>
      </c>
      <c r="P157" s="1">
        <f t="shared" ref="P157:P177" si="71">J157*B$11/L157</f>
        <v>627.88385568524461</v>
      </c>
    </row>
    <row r="158" spans="1:16" x14ac:dyDescent="0.2">
      <c r="A158" t="s">
        <v>1</v>
      </c>
      <c r="B158">
        <f>LOOKUP(S4,AE$30:AE$77,AG$30:AG$77)</f>
        <v>1.1220472440944883E-2</v>
      </c>
      <c r="C158" t="s">
        <v>2</v>
      </c>
      <c r="D158">
        <f>B158*25.4</f>
        <v>0.28500000000000003</v>
      </c>
      <c r="E158" t="s">
        <v>303</v>
      </c>
      <c r="F158">
        <f>D158/1000</f>
        <v>2.8500000000000004E-4</v>
      </c>
      <c r="G158" t="s">
        <v>304</v>
      </c>
      <c r="I158">
        <f>I157*B$7</f>
        <v>336.53625973820812</v>
      </c>
      <c r="J158" s="1">
        <f t="shared" si="66"/>
        <v>7053.2784477334189</v>
      </c>
      <c r="K158">
        <f t="shared" si="67"/>
        <v>0.14908837140634132</v>
      </c>
      <c r="L158">
        <f t="shared" ref="L158:L177" si="72">(J158^2-B$159^2)^0.5</f>
        <v>4401.2925873335798</v>
      </c>
      <c r="M158" s="1">
        <f t="shared" si="68"/>
        <v>3.5840252793958856</v>
      </c>
      <c r="N158" s="1">
        <f t="shared" si="69"/>
        <v>31.13084357683266</v>
      </c>
      <c r="O158" s="1">
        <f t="shared" si="70"/>
        <v>0.31130843576832662</v>
      </c>
      <c r="P158" s="1">
        <f t="shared" si="71"/>
        <v>603.72805203584267</v>
      </c>
    </row>
    <row r="159" spans="1:16" x14ac:dyDescent="0.2">
      <c r="A159" t="s">
        <v>9</v>
      </c>
      <c r="B159">
        <f>PI()/F157</f>
        <v>5511.5660589294612</v>
      </c>
      <c r="C159" t="s">
        <v>305</v>
      </c>
      <c r="I159">
        <f t="shared" ref="I159:I177" si="73">I158*B$7</f>
        <v>344.53858265516243</v>
      </c>
      <c r="J159" s="1">
        <f t="shared" si="66"/>
        <v>7220.9947342514424</v>
      </c>
      <c r="K159">
        <f t="shared" si="67"/>
        <v>0.15085050564191049</v>
      </c>
      <c r="L159">
        <f t="shared" si="72"/>
        <v>4665.3407732065862</v>
      </c>
      <c r="M159" s="1">
        <f t="shared" si="68"/>
        <v>3.441524158428487</v>
      </c>
      <c r="N159" s="1">
        <f t="shared" si="69"/>
        <v>29.893078840109837</v>
      </c>
      <c r="O159" s="1">
        <f t="shared" si="70"/>
        <v>0.29893078840109838</v>
      </c>
      <c r="P159" s="1">
        <f t="shared" si="71"/>
        <v>583.10158713337023</v>
      </c>
    </row>
    <row r="160" spans="1:16" x14ac:dyDescent="0.2">
      <c r="A160" t="s">
        <v>306</v>
      </c>
      <c r="B160">
        <f>2*PI()/B159</f>
        <v>1.1400000000000002E-3</v>
      </c>
      <c r="C160" t="s">
        <v>304</v>
      </c>
      <c r="I160">
        <f t="shared" si="73"/>
        <v>352.73118869975661</v>
      </c>
      <c r="J160" s="1">
        <f t="shared" si="66"/>
        <v>7392.6990602282549</v>
      </c>
      <c r="K160">
        <f t="shared" si="67"/>
        <v>0.15263346723668197</v>
      </c>
      <c r="L160">
        <f t="shared" si="72"/>
        <v>4926.929974452295</v>
      </c>
      <c r="M160" s="1">
        <f t="shared" si="68"/>
        <v>3.3186682086790515</v>
      </c>
      <c r="N160" s="1">
        <f t="shared" si="69"/>
        <v>28.825952060586243</v>
      </c>
      <c r="O160" s="1">
        <f t="shared" si="70"/>
        <v>0.28825952060586241</v>
      </c>
      <c r="P160" s="1">
        <f t="shared" si="71"/>
        <v>565.27164955773105</v>
      </c>
    </row>
    <row r="161" spans="1:16" x14ac:dyDescent="0.2">
      <c r="A161" t="s">
        <v>8</v>
      </c>
      <c r="B161" s="2">
        <f>B$8/B160/1000000000</f>
        <v>262.97584031553907</v>
      </c>
      <c r="C161" t="s">
        <v>35</v>
      </c>
      <c r="I161">
        <f t="shared" si="73"/>
        <v>361.11860251677695</v>
      </c>
      <c r="J161" s="1">
        <f t="shared" si="66"/>
        <v>7568.4862552063842</v>
      </c>
      <c r="K161">
        <f t="shared" si="67"/>
        <v>0.15443750235742476</v>
      </c>
      <c r="L161">
        <f t="shared" si="72"/>
        <v>5186.966721823529</v>
      </c>
      <c r="M161" s="1">
        <f t="shared" si="68"/>
        <v>3.2118338698239643</v>
      </c>
      <c r="N161" s="1">
        <f t="shared" si="69"/>
        <v>27.897988993290955</v>
      </c>
      <c r="O161" s="1">
        <f t="shared" si="70"/>
        <v>0.27897988993290956</v>
      </c>
      <c r="P161" s="1">
        <f t="shared" si="71"/>
        <v>549.70049971121875</v>
      </c>
    </row>
    <row r="162" spans="1:16" x14ac:dyDescent="0.2">
      <c r="A162" t="s">
        <v>418</v>
      </c>
      <c r="B162" t="str">
        <f>S5</f>
        <v>Copper</v>
      </c>
      <c r="I162">
        <f t="shared" si="73"/>
        <v>369.70545634021482</v>
      </c>
      <c r="J162" s="1">
        <f t="shared" si="66"/>
        <v>7748.453403631358</v>
      </c>
      <c r="K162">
        <f t="shared" si="67"/>
        <v>0.15626286008044996</v>
      </c>
      <c r="L162">
        <f t="shared" si="72"/>
        <v>5446.206911815153</v>
      </c>
      <c r="M162" s="1">
        <f t="shared" si="68"/>
        <v>3.1182859913382881</v>
      </c>
      <c r="N162" s="1">
        <f t="shared" si="69"/>
        <v>27.08543212076437</v>
      </c>
      <c r="O162" s="1">
        <f t="shared" si="70"/>
        <v>0.27085432120764369</v>
      </c>
      <c r="P162" s="1">
        <f t="shared" si="71"/>
        <v>535.98354349501108</v>
      </c>
    </row>
    <row r="163" spans="1:16" x14ac:dyDescent="0.2">
      <c r="A163" t="s">
        <v>12</v>
      </c>
      <c r="B163" s="40">
        <f>LOOKUP(S5,$AC$85:$AC$115,$AH$85:$AH$115)</f>
        <v>59772863.120143451</v>
      </c>
      <c r="C163" t="s">
        <v>310</v>
      </c>
      <c r="I163">
        <f t="shared" si="73"/>
        <v>378.4964925515751</v>
      </c>
      <c r="J163" s="1">
        <f t="shared" si="66"/>
        <v>7932.6998984698821</v>
      </c>
      <c r="K163">
        <f t="shared" si="67"/>
        <v>0.15810979242599976</v>
      </c>
      <c r="L163">
        <f t="shared" si="72"/>
        <v>5705.2929159895766</v>
      </c>
      <c r="M163" s="1">
        <f t="shared" si="68"/>
        <v>3.0359156265662244</v>
      </c>
      <c r="N163" s="1">
        <f t="shared" si="69"/>
        <v>26.369963132354226</v>
      </c>
      <c r="O163" s="1">
        <f t="shared" si="70"/>
        <v>0.26369963132354224</v>
      </c>
      <c r="P163" s="1">
        <f t="shared" si="71"/>
        <v>523.80983114322351</v>
      </c>
    </row>
    <row r="164" spans="1:16" x14ac:dyDescent="0.2">
      <c r="A164" s="45" t="s">
        <v>434</v>
      </c>
      <c r="B164">
        <f>LOOKUP(S5,$AC$85:$AC$115,$AI$85:$AI$115)</f>
        <v>1</v>
      </c>
      <c r="I164">
        <f t="shared" si="73"/>
        <v>387.49656629901745</v>
      </c>
      <c r="J164" s="1">
        <f t="shared" si="66"/>
        <v>8121.3274961029783</v>
      </c>
      <c r="K164">
        <f t="shared" si="67"/>
        <v>0.15997855439304301</v>
      </c>
      <c r="L164">
        <f t="shared" si="72"/>
        <v>5964.779952103434</v>
      </c>
      <c r="M164" s="1">
        <f t="shared" si="68"/>
        <v>2.9630666588990038</v>
      </c>
      <c r="N164" s="1">
        <f t="shared" si="69"/>
        <v>25.737196999196748</v>
      </c>
      <c r="O164" s="1">
        <f t="shared" si="70"/>
        <v>0.25737196999196749</v>
      </c>
      <c r="P164" s="1">
        <f t="shared" si="71"/>
        <v>512.93598045348006</v>
      </c>
    </row>
    <row r="165" spans="1:16" x14ac:dyDescent="0.2">
      <c r="I165">
        <f t="shared" si="73"/>
        <v>396.71064817877652</v>
      </c>
      <c r="J165" s="1">
        <f t="shared" si="66"/>
        <v>8314.4403725244119</v>
      </c>
      <c r="K165">
        <f t="shared" si="67"/>
        <v>0.16186940399448185</v>
      </c>
      <c r="L165">
        <f t="shared" si="72"/>
        <v>6225.15528210507</v>
      </c>
      <c r="M165" s="1">
        <f t="shared" si="68"/>
        <v>2.89841774474207</v>
      </c>
      <c r="N165" s="1">
        <f t="shared" si="69"/>
        <v>25.17565653082962</v>
      </c>
      <c r="O165" s="1">
        <f t="shared" si="70"/>
        <v>0.25175656530829621</v>
      </c>
      <c r="P165" s="1">
        <f t="shared" si="71"/>
        <v>503.16844888730344</v>
      </c>
    </row>
    <row r="166" spans="1:16" x14ac:dyDescent="0.2">
      <c r="B166" s="45"/>
      <c r="I166">
        <f t="shared" si="73"/>
        <v>406.14382698034262</v>
      </c>
      <c r="J166" s="1">
        <f t="shared" si="66"/>
        <v>8512.1451808754045</v>
      </c>
      <c r="K166">
        <f t="shared" si="67"/>
        <v>0.16378260229277464</v>
      </c>
      <c r="L166">
        <f t="shared" si="72"/>
        <v>6486.8524847075987</v>
      </c>
      <c r="M166" s="1">
        <f t="shared" si="68"/>
        <v>2.8408998509861312</v>
      </c>
      <c r="N166" s="1">
        <f t="shared" si="69"/>
        <v>24.676056105665534</v>
      </c>
      <c r="O166" s="1">
        <f t="shared" si="70"/>
        <v>0.24676056105665534</v>
      </c>
      <c r="P166" s="1">
        <f t="shared" si="71"/>
        <v>494.3511709804082</v>
      </c>
    </row>
    <row r="167" spans="1:16" x14ac:dyDescent="0.2">
      <c r="I167">
        <f t="shared" si="73"/>
        <v>415.80131249691834</v>
      </c>
      <c r="J167" s="1">
        <f t="shared" si="66"/>
        <v>8714.5511103474601</v>
      </c>
      <c r="K167">
        <f t="shared" si="67"/>
        <v>0.16571841343597982</v>
      </c>
      <c r="L167">
        <f t="shared" si="72"/>
        <v>6750.2622640098152</v>
      </c>
      <c r="M167" s="1">
        <f t="shared" si="68"/>
        <v>2.7896373580626239</v>
      </c>
      <c r="N167" s="1">
        <f t="shared" si="69"/>
        <v>24.230790092131951</v>
      </c>
      <c r="O167" s="1">
        <f t="shared" si="70"/>
        <v>0.24230790092131951</v>
      </c>
      <c r="P167" s="1">
        <f t="shared" si="71"/>
        <v>486.35674328429025</v>
      </c>
    </row>
    <row r="168" spans="1:16" x14ac:dyDescent="0.2">
      <c r="I168">
        <f t="shared" si="73"/>
        <v>425.68843840270375</v>
      </c>
      <c r="J168" s="1">
        <f t="shared" si="66"/>
        <v>8921.7699464858033</v>
      </c>
      <c r="K168">
        <f t="shared" si="67"/>
        <v>0.16767710469422589</v>
      </c>
      <c r="L168">
        <f t="shared" si="72"/>
        <v>7015.7407703017416</v>
      </c>
      <c r="M168" s="1">
        <f t="shared" si="68"/>
        <v>2.7439051594394401</v>
      </c>
      <c r="N168" s="1">
        <f t="shared" si="69"/>
        <v>23.833560214890976</v>
      </c>
      <c r="O168" s="1">
        <f t="shared" si="70"/>
        <v>0.23833560214890975</v>
      </c>
      <c r="P168" s="1">
        <f t="shared" si="71"/>
        <v>479.08001423735425</v>
      </c>
    </row>
    <row r="169" spans="1:16" x14ac:dyDescent="0.2">
      <c r="I169">
        <f t="shared" si="73"/>
        <v>435.81066519859894</v>
      </c>
      <c r="J169" s="1">
        <f t="shared" si="66"/>
        <v>9133.9161329267408</v>
      </c>
      <c r="K169">
        <f t="shared" si="67"/>
        <v>0.16965894649661242</v>
      </c>
      <c r="L169">
        <f t="shared" si="72"/>
        <v>7283.6161006327175</v>
      </c>
      <c r="M169" s="1">
        <f t="shared" si="68"/>
        <v>2.7030968622137812</v>
      </c>
      <c r="N169" s="1">
        <f t="shared" si="69"/>
        <v>23.479099345188903</v>
      </c>
      <c r="O169" s="1">
        <f t="shared" si="70"/>
        <v>0.23479099345188903</v>
      </c>
      <c r="P169" s="1">
        <f t="shared" si="71"/>
        <v>472.43334078654993</v>
      </c>
    </row>
    <row r="170" spans="1:16" x14ac:dyDescent="0.2">
      <c r="I170">
        <f t="shared" si="73"/>
        <v>446.17358322795116</v>
      </c>
      <c r="J170" s="1">
        <f t="shared" si="66"/>
        <v>9351.106834603037</v>
      </c>
      <c r="K170">
        <f t="shared" si="67"/>
        <v>0.17166421246854699</v>
      </c>
      <c r="L170">
        <f t="shared" si="72"/>
        <v>7554.1934453796184</v>
      </c>
      <c r="M170" s="1">
        <f t="shared" si="68"/>
        <v>2.6667008447769791</v>
      </c>
      <c r="N170" s="1">
        <f t="shared" si="69"/>
        <v>23.162963537732839</v>
      </c>
      <c r="O170" s="1">
        <f t="shared" si="70"/>
        <v>0.23162963537732839</v>
      </c>
      <c r="P170" s="1">
        <f t="shared" si="71"/>
        <v>466.34302311860961</v>
      </c>
    </row>
    <row r="171" spans="1:16" x14ac:dyDescent="0.2">
      <c r="I171">
        <f t="shared" si="73"/>
        <v>456.78291576401153</v>
      </c>
      <c r="J171" s="1">
        <f t="shared" si="66"/>
        <v>9573.4620024522392</v>
      </c>
      <c r="K171">
        <f t="shared" si="67"/>
        <v>0.17369317946952384</v>
      </c>
      <c r="L171">
        <f t="shared" si="72"/>
        <v>7827.759212600602</v>
      </c>
      <c r="M171" s="1">
        <f t="shared" si="68"/>
        <v>2.6342819746070356</v>
      </c>
      <c r="N171" s="1">
        <f t="shared" si="69"/>
        <v>22.881373231436712</v>
      </c>
      <c r="O171" s="1">
        <f t="shared" si="70"/>
        <v>0.22881373231436711</v>
      </c>
      <c r="P171" s="1">
        <f t="shared" si="71"/>
        <v>460.74658694251229</v>
      </c>
    </row>
    <row r="172" spans="1:16" x14ac:dyDescent="0.2">
      <c r="I172">
        <f t="shared" si="73"/>
        <v>467.64452217080714</v>
      </c>
      <c r="J172" s="1">
        <f t="shared" si="66"/>
        <v>9801.1044396636407</v>
      </c>
      <c r="K172">
        <f t="shared" si="67"/>
        <v>0.1757461276313487</v>
      </c>
      <c r="L172">
        <f t="shared" si="72"/>
        <v>8104.5843702963011</v>
      </c>
      <c r="M172" s="1">
        <f t="shared" si="68"/>
        <v>2.6054674690296871</v>
      </c>
      <c r="N172" s="1">
        <f t="shared" si="69"/>
        <v>22.631090435991862</v>
      </c>
      <c r="O172" s="1">
        <f t="shared" si="70"/>
        <v>0.22631090435991863</v>
      </c>
      <c r="P172" s="1">
        <f t="shared" si="71"/>
        <v>455.59068529937105</v>
      </c>
    </row>
    <row r="173" spans="1:16" x14ac:dyDescent="0.2">
      <c r="A173" t="s">
        <v>331</v>
      </c>
      <c r="I173">
        <f t="shared" si="73"/>
        <v>478.76440113917351</v>
      </c>
      <c r="J173" s="1">
        <f t="shared" si="66"/>
        <v>10034.159869500516</v>
      </c>
      <c r="K173">
        <f t="shared" si="67"/>
        <v>0.17782334039681549</v>
      </c>
      <c r="L173">
        <f t="shared" si="72"/>
        <v>8384.927183032145</v>
      </c>
      <c r="M173" s="1">
        <f t="shared" si="68"/>
        <v>2.5799358325872666</v>
      </c>
      <c r="N173" s="1">
        <f t="shared" si="69"/>
        <v>22.409322641852999</v>
      </c>
      <c r="O173" s="1">
        <f t="shared" si="70"/>
        <v>0.22409322641852999</v>
      </c>
      <c r="P173" s="1">
        <f t="shared" si="71"/>
        <v>450.8294598078428</v>
      </c>
    </row>
    <row r="174" spans="1:16" x14ac:dyDescent="0.2">
      <c r="I174">
        <f t="shared" si="73"/>
        <v>490.14869399973549</v>
      </c>
      <c r="J174" s="1">
        <f t="shared" si="66"/>
        <v>10272.757004735065</v>
      </c>
      <c r="K174">
        <f t="shared" si="67"/>
        <v>0.17992510455884034</v>
      </c>
      <c r="L174">
        <f t="shared" si="72"/>
        <v>8669.0354743991047</v>
      </c>
      <c r="M174" s="1">
        <f t="shared" si="68"/>
        <v>2.5574081094008965</v>
      </c>
      <c r="N174" s="1">
        <f t="shared" si="69"/>
        <v>22.213646838256185</v>
      </c>
      <c r="O174" s="1">
        <f t="shared" si="70"/>
        <v>0.22213646838256185</v>
      </c>
      <c r="P174" s="1">
        <f t="shared" si="71"/>
        <v>446.42324713276662</v>
      </c>
    </row>
    <row r="175" spans="1:16" x14ac:dyDescent="0.2">
      <c r="I175">
        <f t="shared" si="73"/>
        <v>501.80368811466525</v>
      </c>
      <c r="J175" s="1">
        <f t="shared" si="66"/>
        <v>10517.027618734408</v>
      </c>
      <c r="K175">
        <f t="shared" si="67"/>
        <v>0.18205171030005787</v>
      </c>
      <c r="L175">
        <f t="shared" si="72"/>
        <v>8957.1485145262104</v>
      </c>
      <c r="M175" s="1">
        <f t="shared" si="68"/>
        <v>2.5376408985565835</v>
      </c>
      <c r="N175" s="1">
        <f t="shared" si="69"/>
        <v>22.041948844862485</v>
      </c>
      <c r="O175" s="1">
        <f t="shared" si="70"/>
        <v>0.22041948844862486</v>
      </c>
      <c r="P175" s="1">
        <f t="shared" si="71"/>
        <v>442.3375479968887</v>
      </c>
    </row>
    <row r="176" spans="1:16" x14ac:dyDescent="0.2">
      <c r="I176">
        <f t="shared" si="73"/>
        <v>513.73582035009179</v>
      </c>
      <c r="J176" s="1">
        <f t="shared" si="66"/>
        <v>10767.106618236892</v>
      </c>
      <c r="K176">
        <f t="shared" si="67"/>
        <v>0.18420345123288565</v>
      </c>
      <c r="L176">
        <f t="shared" si="72"/>
        <v>9249.4986083861568</v>
      </c>
      <c r="M176" s="1">
        <f t="shared" si="68"/>
        <v>2.5204207270893222</v>
      </c>
      <c r="N176" s="1">
        <f t="shared" si="69"/>
        <v>21.892374435497853</v>
      </c>
      <c r="O176" s="1">
        <f t="shared" si="70"/>
        <v>0.21892374435497852</v>
      </c>
      <c r="P176" s="1">
        <f t="shared" si="71"/>
        <v>438.54219807568063</v>
      </c>
    </row>
    <row r="177" spans="1:16" x14ac:dyDescent="0.2">
      <c r="I177">
        <f t="shared" si="73"/>
        <v>525.9516806310786</v>
      </c>
      <c r="J177" s="1">
        <f t="shared" si="66"/>
        <v>11023.13211785893</v>
      </c>
      <c r="K177">
        <f t="shared" si="67"/>
        <v>0.18638062444006209</v>
      </c>
      <c r="L177">
        <f t="shared" si="72"/>
        <v>9546.3124433379962</v>
      </c>
      <c r="M177" s="1">
        <f t="shared" si="68"/>
        <v>2.505559479085949</v>
      </c>
      <c r="N177" s="1">
        <f t="shared" si="69"/>
        <v>21.763289635340552</v>
      </c>
      <c r="O177" s="1">
        <f t="shared" si="70"/>
        <v>0.21763289635340552</v>
      </c>
      <c r="P177" s="1">
        <f t="shared" si="71"/>
        <v>435.01069571963495</v>
      </c>
    </row>
    <row r="181" spans="1:16" x14ac:dyDescent="0.2">
      <c r="A181" t="s">
        <v>462</v>
      </c>
      <c r="B181" t="str">
        <f>U4</f>
        <v>WR2.8</v>
      </c>
      <c r="I181" t="s">
        <v>5</v>
      </c>
      <c r="J181" t="s">
        <v>11</v>
      </c>
      <c r="K181" t="s">
        <v>308</v>
      </c>
      <c r="L181" t="s">
        <v>309</v>
      </c>
      <c r="M181" t="s">
        <v>20</v>
      </c>
      <c r="N181" t="s">
        <v>16</v>
      </c>
      <c r="O181" t="s">
        <v>17</v>
      </c>
      <c r="P181" t="s">
        <v>307</v>
      </c>
    </row>
    <row r="182" spans="1:16" x14ac:dyDescent="0.2">
      <c r="A182" t="s">
        <v>0</v>
      </c>
      <c r="B182">
        <f>LOOKUP(U4,AE$30:AE$77,AF$30:AF$77)</f>
        <v>2.7952755905511811E-2</v>
      </c>
      <c r="C182" t="s">
        <v>2</v>
      </c>
      <c r="D182">
        <f>B182*25.4</f>
        <v>0.71</v>
      </c>
      <c r="E182" t="s">
        <v>303</v>
      </c>
      <c r="F182">
        <f>D182/1000</f>
        <v>7.0999999999999991E-4</v>
      </c>
      <c r="G182" t="s">
        <v>304</v>
      </c>
      <c r="I182" s="2">
        <f>B186*B$5</f>
        <v>263.90181158425588</v>
      </c>
      <c r="J182" s="1">
        <f t="shared" ref="J182:J202" si="74">2*PI()*I182*1000000000/B$8</f>
        <v>5530.9729816721729</v>
      </c>
      <c r="K182">
        <f t="shared" ref="K182:K202" si="75">(2*PI()*I182*1000000000*B$9*B$189/(2*B$188))^0.5</f>
        <v>0.13202282594802769</v>
      </c>
      <c r="L182">
        <f>(J182^2-B$184^2)^0.5</f>
        <v>3318.5837890033049</v>
      </c>
      <c r="M182" s="1">
        <f t="shared" ref="M182:M202" si="76">K182/(F$182^3*F$183*L182*J182*B$11)*(2*F$183*PI()^2+F$182^3*J182^2)</f>
        <v>2.6982532094332479</v>
      </c>
      <c r="N182" s="1">
        <f t="shared" ref="N182:N202" si="77">M182*8.686</f>
        <v>23.437027377137191</v>
      </c>
      <c r="O182" s="1">
        <f t="shared" ref="O182:O202" si="78">N182/100</f>
        <v>0.2343702737713719</v>
      </c>
      <c r="P182" s="1">
        <f t="shared" ref="P182:P202" si="79">J182*B$11/L182</f>
        <v>627.88385568524404</v>
      </c>
    </row>
    <row r="183" spans="1:16" x14ac:dyDescent="0.2">
      <c r="A183" t="s">
        <v>1</v>
      </c>
      <c r="B183">
        <f>LOOKUP(U4,AE$30:AE$77,AG$30:AG$77)</f>
        <v>1.3976377952755905E-2</v>
      </c>
      <c r="C183" t="s">
        <v>2</v>
      </c>
      <c r="D183">
        <f>B183*25.4</f>
        <v>0.35499999999999998</v>
      </c>
      <c r="E183" t="s">
        <v>303</v>
      </c>
      <c r="F183">
        <f>D183/1000</f>
        <v>3.5499999999999996E-4</v>
      </c>
      <c r="G183" t="s">
        <v>304</v>
      </c>
      <c r="I183">
        <f>I182*B$7</f>
        <v>270.1769972546179</v>
      </c>
      <c r="J183" s="1">
        <f t="shared" si="74"/>
        <v>5662.4911481803529</v>
      </c>
      <c r="K183">
        <f t="shared" si="75"/>
        <v>0.1335832557742114</v>
      </c>
      <c r="L183">
        <f t="shared" ref="L183:L202" si="80">(J183^2-B$184^2)^0.5</f>
        <v>3533.4320771551302</v>
      </c>
      <c r="M183" s="1">
        <f t="shared" si="76"/>
        <v>2.5780766455009299</v>
      </c>
      <c r="N183" s="1">
        <f t="shared" si="77"/>
        <v>22.393173742821077</v>
      </c>
      <c r="O183" s="1">
        <f t="shared" si="78"/>
        <v>0.22393173742821076</v>
      </c>
      <c r="P183" s="1">
        <f t="shared" si="79"/>
        <v>603.72805203584244</v>
      </c>
    </row>
    <row r="184" spans="1:16" x14ac:dyDescent="0.2">
      <c r="A184" t="s">
        <v>9</v>
      </c>
      <c r="B184">
        <f>PI()/F182</f>
        <v>4424.7783853377377</v>
      </c>
      <c r="C184" t="s">
        <v>305</v>
      </c>
      <c r="I184">
        <f t="shared" ref="I184:I202" si="81">I183*B$7</f>
        <v>276.60139734287696</v>
      </c>
      <c r="J184" s="1">
        <f t="shared" si="74"/>
        <v>5797.1366176384836</v>
      </c>
      <c r="K184">
        <f t="shared" si="75"/>
        <v>0.13516212893566656</v>
      </c>
      <c r="L184">
        <f t="shared" si="80"/>
        <v>3745.414423560218</v>
      </c>
      <c r="M184" s="1">
        <f t="shared" si="76"/>
        <v>2.4755721196439935</v>
      </c>
      <c r="N184" s="1">
        <f t="shared" si="77"/>
        <v>21.502819431227728</v>
      </c>
      <c r="O184" s="1">
        <f t="shared" si="78"/>
        <v>0.21502819431227727</v>
      </c>
      <c r="P184" s="1">
        <f t="shared" si="79"/>
        <v>583.10158713337012</v>
      </c>
    </row>
    <row r="185" spans="1:16" x14ac:dyDescent="0.2">
      <c r="A185" t="s">
        <v>306</v>
      </c>
      <c r="B185">
        <f>2*PI()/B184</f>
        <v>1.4199999999999996E-3</v>
      </c>
      <c r="C185" t="s">
        <v>304</v>
      </c>
      <c r="I185">
        <f t="shared" si="81"/>
        <v>283.1785599420582</v>
      </c>
      <c r="J185" s="1">
        <f t="shared" si="74"/>
        <v>5934.9837525776156</v>
      </c>
      <c r="K185">
        <f t="shared" si="75"/>
        <v>0.13675966342144352</v>
      </c>
      <c r="L185">
        <f t="shared" si="80"/>
        <v>3955.4226555462114</v>
      </c>
      <c r="M185" s="1">
        <f t="shared" si="76"/>
        <v>2.3871988437548102</v>
      </c>
      <c r="N185" s="1">
        <f t="shared" si="77"/>
        <v>20.735209156854282</v>
      </c>
      <c r="O185" s="1">
        <f t="shared" si="78"/>
        <v>0.20735209156854281</v>
      </c>
      <c r="P185" s="1">
        <f t="shared" si="79"/>
        <v>565.27164955773094</v>
      </c>
    </row>
    <row r="186" spans="1:16" x14ac:dyDescent="0.2">
      <c r="A186" t="s">
        <v>8</v>
      </c>
      <c r="B186" s="2">
        <f>B$8/B185/1000000000</f>
        <v>211.1214492674047</v>
      </c>
      <c r="C186" t="s">
        <v>35</v>
      </c>
      <c r="I186">
        <f t="shared" si="81"/>
        <v>289.9121175134689</v>
      </c>
      <c r="J186" s="1">
        <f t="shared" si="74"/>
        <v>6076.1086837572411</v>
      </c>
      <c r="K186">
        <f t="shared" si="75"/>
        <v>0.13837607979709113</v>
      </c>
      <c r="L186">
        <f t="shared" si="80"/>
        <v>4164.1845513231183</v>
      </c>
      <c r="M186" s="1">
        <f t="shared" si="76"/>
        <v>2.3103503026679966</v>
      </c>
      <c r="N186" s="1">
        <f t="shared" si="77"/>
        <v>20.067702728974218</v>
      </c>
      <c r="O186" s="1">
        <f t="shared" si="78"/>
        <v>0.20067702728974218</v>
      </c>
      <c r="P186" s="1">
        <f t="shared" si="79"/>
        <v>549.70049971121853</v>
      </c>
    </row>
    <row r="187" spans="1:16" x14ac:dyDescent="0.2">
      <c r="A187" t="s">
        <v>418</v>
      </c>
      <c r="B187" t="str">
        <f>U5</f>
        <v>Copper</v>
      </c>
      <c r="I187">
        <f t="shared" si="81"/>
        <v>296.80578889284857</v>
      </c>
      <c r="J187" s="1">
        <f t="shared" si="74"/>
        <v>6220.5893522110928</v>
      </c>
      <c r="K187">
        <f t="shared" si="75"/>
        <v>0.14001160123510945</v>
      </c>
      <c r="L187">
        <f t="shared" si="80"/>
        <v>4372.3069573727307</v>
      </c>
      <c r="M187" s="1">
        <f t="shared" si="76"/>
        <v>2.2430590360169056</v>
      </c>
      <c r="N187" s="1">
        <f t="shared" si="77"/>
        <v>19.483210786842843</v>
      </c>
      <c r="O187" s="1">
        <f t="shared" si="78"/>
        <v>0.19483210786842842</v>
      </c>
      <c r="P187" s="1">
        <f t="shared" si="79"/>
        <v>535.98354349501096</v>
      </c>
    </row>
    <row r="188" spans="1:16" x14ac:dyDescent="0.2">
      <c r="A188" t="s">
        <v>12</v>
      </c>
      <c r="B188" s="40">
        <f>LOOKUP(U5,$AC$85:$AC$115,$AH$85:$AH$115)</f>
        <v>59772863.120143451</v>
      </c>
      <c r="C188" t="s">
        <v>310</v>
      </c>
      <c r="I188">
        <f t="shared" si="81"/>
        <v>303.86338134422232</v>
      </c>
      <c r="J188" s="1">
        <f t="shared" si="74"/>
        <v>6368.5055522927232</v>
      </c>
      <c r="K188">
        <f t="shared" si="75"/>
        <v>0.14166645354576224</v>
      </c>
      <c r="L188">
        <f t="shared" si="80"/>
        <v>4580.3055804423366</v>
      </c>
      <c r="M188" s="1">
        <f t="shared" si="76"/>
        <v>2.1838080271244573</v>
      </c>
      <c r="N188" s="1">
        <f t="shared" si="77"/>
        <v>18.968556523603038</v>
      </c>
      <c r="O188" s="1">
        <f t="shared" si="78"/>
        <v>0.18968556523603039</v>
      </c>
      <c r="P188" s="1">
        <f t="shared" si="79"/>
        <v>523.80983114322351</v>
      </c>
    </row>
    <row r="189" spans="1:16" x14ac:dyDescent="0.2">
      <c r="A189" s="45" t="s">
        <v>434</v>
      </c>
      <c r="B189">
        <f>LOOKUP(U5,$AC$85:$AC$115,$AI$85:$AI$115)</f>
        <v>1</v>
      </c>
      <c r="I189">
        <f t="shared" si="81"/>
        <v>311.08879266259152</v>
      </c>
      <c r="J189" s="1">
        <f t="shared" si="74"/>
        <v>6519.938975744647</v>
      </c>
      <c r="K189">
        <f t="shared" si="75"/>
        <v>0.14334086520825384</v>
      </c>
      <c r="L189">
        <f t="shared" si="80"/>
        <v>4788.6261587309273</v>
      </c>
      <c r="M189" s="1">
        <f t="shared" si="76"/>
        <v>2.1314059909916736</v>
      </c>
      <c r="N189" s="1">
        <f t="shared" si="77"/>
        <v>18.513392437753676</v>
      </c>
      <c r="O189" s="1">
        <f t="shared" si="78"/>
        <v>0.18513392437753676</v>
      </c>
      <c r="P189" s="1">
        <f t="shared" si="79"/>
        <v>512.93598045348017</v>
      </c>
    </row>
    <row r="190" spans="1:16" x14ac:dyDescent="0.2">
      <c r="I190">
        <f t="shared" si="81"/>
        <v>318.48601332662349</v>
      </c>
      <c r="J190" s="1">
        <f t="shared" si="74"/>
        <v>6674.973256815375</v>
      </c>
      <c r="K190">
        <f t="shared" si="75"/>
        <v>0.14503506740227434</v>
      </c>
      <c r="L190">
        <f t="shared" si="80"/>
        <v>4997.6598743660434</v>
      </c>
      <c r="M190" s="1">
        <f t="shared" si="76"/>
        <v>2.0849024529995859</v>
      </c>
      <c r="N190" s="1">
        <f t="shared" si="77"/>
        <v>18.109462706754403</v>
      </c>
      <c r="O190" s="1">
        <f t="shared" si="78"/>
        <v>0.18109462706754403</v>
      </c>
      <c r="P190" s="1">
        <f t="shared" si="79"/>
        <v>503.16844888730344</v>
      </c>
    </row>
    <row r="191" spans="1:16" x14ac:dyDescent="0.2">
      <c r="B191" s="45"/>
      <c r="I191">
        <f t="shared" si="81"/>
        <v>326.05912870252871</v>
      </c>
      <c r="J191" s="1">
        <f t="shared" si="74"/>
        <v>6833.6940184492705</v>
      </c>
      <c r="K191">
        <f t="shared" si="75"/>
        <v>0.14674929403991782</v>
      </c>
      <c r="L191">
        <f t="shared" si="80"/>
        <v>5207.7548116666649</v>
      </c>
      <c r="M191" s="1">
        <f t="shared" si="76"/>
        <v>2.0435284316044067</v>
      </c>
      <c r="N191" s="1">
        <f t="shared" si="77"/>
        <v>17.750087956915877</v>
      </c>
      <c r="O191" s="1">
        <f t="shared" si="78"/>
        <v>0.17750087956915878</v>
      </c>
      <c r="P191" s="1">
        <f t="shared" si="79"/>
        <v>494.3511709804082</v>
      </c>
    </row>
    <row r="192" spans="1:16" x14ac:dyDescent="0.2">
      <c r="I192">
        <f t="shared" si="81"/>
        <v>333.81232130034306</v>
      </c>
      <c r="J192" s="1">
        <f t="shared" si="74"/>
        <v>6996.1889195747253</v>
      </c>
      <c r="K192">
        <f t="shared" si="75"/>
        <v>0.14848378179797747</v>
      </c>
      <c r="L192">
        <f t="shared" si="80"/>
        <v>5419.2246344867572</v>
      </c>
      <c r="M192" s="1">
        <f t="shared" si="76"/>
        <v>2.0066540723313246</v>
      </c>
      <c r="N192" s="1">
        <f t="shared" si="77"/>
        <v>17.429797272269887</v>
      </c>
      <c r="O192" s="1">
        <f t="shared" si="78"/>
        <v>0.17429797272269887</v>
      </c>
      <c r="P192" s="1">
        <f t="shared" si="79"/>
        <v>486.35674328429019</v>
      </c>
    </row>
    <row r="193" spans="1:16" x14ac:dyDescent="0.2">
      <c r="I193">
        <f t="shared" si="81"/>
        <v>341.7498730838609</v>
      </c>
      <c r="J193" s="1">
        <f t="shared" si="74"/>
        <v>7162.5477035167751</v>
      </c>
      <c r="K193">
        <f t="shared" si="75"/>
        <v>0.15023877015062284</v>
      </c>
      <c r="L193">
        <f t="shared" si="80"/>
        <v>5632.355266298584</v>
      </c>
      <c r="M193" s="1">
        <f t="shared" si="76"/>
        <v>1.973757788397269</v>
      </c>
      <c r="N193" s="1">
        <f t="shared" si="77"/>
        <v>17.144060150018678</v>
      </c>
      <c r="O193" s="1">
        <f t="shared" si="78"/>
        <v>0.17144060150018678</v>
      </c>
      <c r="P193" s="1">
        <f t="shared" si="79"/>
        <v>479.08001423735419</v>
      </c>
    </row>
    <row r="194" spans="1:16" x14ac:dyDescent="0.2">
      <c r="I194">
        <f t="shared" si="81"/>
        <v>349.8761678354951</v>
      </c>
      <c r="J194" s="1">
        <f t="shared" si="74"/>
        <v>7332.8622475609072</v>
      </c>
      <c r="K194">
        <f t="shared" si="75"/>
        <v>0.15201450140246317</v>
      </c>
      <c r="L194">
        <f t="shared" si="80"/>
        <v>5847.4101089586629</v>
      </c>
      <c r="M194" s="1">
        <f t="shared" si="76"/>
        <v>1.9444033866231096</v>
      </c>
      <c r="N194" s="1">
        <f t="shared" si="77"/>
        <v>16.889087816208331</v>
      </c>
      <c r="O194" s="1">
        <f t="shared" si="78"/>
        <v>0.16889087816208331</v>
      </c>
      <c r="P194" s="1">
        <f t="shared" si="79"/>
        <v>472.43334078654993</v>
      </c>
    </row>
    <row r="195" spans="1:16" x14ac:dyDescent="0.2">
      <c r="I195">
        <f t="shared" si="81"/>
        <v>358.19569357736941</v>
      </c>
      <c r="J195" s="1">
        <f t="shared" si="74"/>
        <v>7507.2266136954013</v>
      </c>
      <c r="K195">
        <f t="shared" si="75"/>
        <v>0.15381122072200137</v>
      </c>
      <c r="L195">
        <f t="shared" si="80"/>
        <v>6064.6341744596994</v>
      </c>
      <c r="M195" s="1">
        <f t="shared" si="76"/>
        <v>1.9182228451290264</v>
      </c>
      <c r="N195" s="1">
        <f t="shared" si="77"/>
        <v>16.661683632790723</v>
      </c>
      <c r="O195" s="1">
        <f t="shared" si="78"/>
        <v>0.16661683632790722</v>
      </c>
      <c r="P195" s="1">
        <f t="shared" si="79"/>
        <v>466.34302311860955</v>
      </c>
    </row>
    <row r="196" spans="1:16" x14ac:dyDescent="0.2">
      <c r="I196">
        <f t="shared" si="81"/>
        <v>366.7130450499813</v>
      </c>
      <c r="J196" s="1">
        <f t="shared" si="74"/>
        <v>7685.7371005602536</v>
      </c>
      <c r="K196">
        <f t="shared" si="75"/>
        <v>0.1556291761754835</v>
      </c>
      <c r="L196">
        <f t="shared" si="80"/>
        <v>6284.2573960314749</v>
      </c>
      <c r="M196" s="1">
        <f t="shared" si="76"/>
        <v>1.8949031624975627</v>
      </c>
      <c r="N196" s="1">
        <f t="shared" si="77"/>
        <v>16.459128869453831</v>
      </c>
      <c r="O196" s="1">
        <f t="shared" si="78"/>
        <v>0.16459128869453832</v>
      </c>
      <c r="P196" s="1">
        <f t="shared" si="79"/>
        <v>460.74658694251212</v>
      </c>
    </row>
    <row r="197" spans="1:16" x14ac:dyDescent="0.2">
      <c r="I197">
        <f t="shared" si="81"/>
        <v>375.43292624980313</v>
      </c>
      <c r="J197" s="1">
        <f t="shared" si="74"/>
        <v>7868.492296631377</v>
      </c>
      <c r="K197">
        <f t="shared" si="75"/>
        <v>0.15746861876114837</v>
      </c>
      <c r="L197">
        <f t="shared" si="80"/>
        <v>6506.4973113646392</v>
      </c>
      <c r="M197" s="1">
        <f t="shared" si="76"/>
        <v>1.8741761870747939</v>
      </c>
      <c r="N197" s="1">
        <f t="shared" si="77"/>
        <v>16.279094360931659</v>
      </c>
      <c r="O197" s="1">
        <f t="shared" si="78"/>
        <v>0.16279094360931659</v>
      </c>
      <c r="P197" s="1">
        <f t="shared" si="79"/>
        <v>455.59068529937105</v>
      </c>
    </row>
    <row r="198" spans="1:16" x14ac:dyDescent="0.2">
      <c r="A198" t="s">
        <v>331</v>
      </c>
      <c r="I198">
        <f t="shared" si="81"/>
        <v>384.36015302722404</v>
      </c>
      <c r="J198" s="1">
        <f t="shared" si="74"/>
        <v>8055.5931346694324</v>
      </c>
      <c r="K198">
        <f t="shared" si="75"/>
        <v>0.15932980244388198</v>
      </c>
      <c r="L198">
        <f t="shared" si="80"/>
        <v>6731.5612596173596</v>
      </c>
      <c r="M198" s="1">
        <f t="shared" si="76"/>
        <v>1.8558106593504142</v>
      </c>
      <c r="N198" s="1">
        <f t="shared" si="77"/>
        <v>16.119571387117698</v>
      </c>
      <c r="O198" s="1">
        <f t="shared" si="78"/>
        <v>0.16119571387117698</v>
      </c>
      <c r="P198" s="1">
        <f t="shared" si="79"/>
        <v>450.82945980784274</v>
      </c>
    </row>
    <row r="199" spans="1:16" x14ac:dyDescent="0.2">
      <c r="I199">
        <f t="shared" si="81"/>
        <v>393.49965574626674</v>
      </c>
      <c r="J199" s="1">
        <f t="shared" si="74"/>
        <v>8247.1429474633678</v>
      </c>
      <c r="K199">
        <f t="shared" si="75"/>
        <v>0.16121298419028138</v>
      </c>
      <c r="L199">
        <f t="shared" si="80"/>
        <v>6959.6481977570347</v>
      </c>
      <c r="M199" s="1">
        <f t="shared" si="76"/>
        <v>1.8396059195688688</v>
      </c>
      <c r="N199" s="1">
        <f t="shared" si="77"/>
        <v>15.978817017375194</v>
      </c>
      <c r="O199" s="1">
        <f t="shared" si="78"/>
        <v>0.15978817017375194</v>
      </c>
      <c r="P199" s="1">
        <f t="shared" si="79"/>
        <v>446.42324713276645</v>
      </c>
    </row>
    <row r="200" spans="1:16" x14ac:dyDescent="0.2">
      <c r="I200">
        <f t="shared" si="81"/>
        <v>402.85648200754838</v>
      </c>
      <c r="J200" s="1">
        <f t="shared" si="74"/>
        <v>8443.2475248994579</v>
      </c>
      <c r="K200">
        <f t="shared" si="75"/>
        <v>0.16311842400413318</v>
      </c>
      <c r="L200">
        <f t="shared" si="80"/>
        <v>7190.9502158872428</v>
      </c>
      <c r="M200" s="1">
        <f t="shared" si="76"/>
        <v>1.8253868835265208</v>
      </c>
      <c r="N200" s="1">
        <f t="shared" si="77"/>
        <v>15.855310470311359</v>
      </c>
      <c r="O200" s="1">
        <f t="shared" si="78"/>
        <v>0.1585531047031136</v>
      </c>
      <c r="P200" s="1">
        <f t="shared" si="79"/>
        <v>442.33754799688865</v>
      </c>
    </row>
    <row r="201" spans="1:16" x14ac:dyDescent="0.2">
      <c r="I201">
        <f t="shared" si="81"/>
        <v>412.43579943598945</v>
      </c>
      <c r="J201" s="1">
        <f t="shared" si="74"/>
        <v>8644.0151723873678</v>
      </c>
      <c r="K201">
        <f t="shared" si="75"/>
        <v>0.16504638496231119</v>
      </c>
      <c r="L201">
        <f t="shared" si="80"/>
        <v>7425.6538123663549</v>
      </c>
      <c r="M201" s="1">
        <f t="shared" si="76"/>
        <v>1.8129999949221107</v>
      </c>
      <c r="N201" s="1">
        <f t="shared" si="77"/>
        <v>15.747717955893453</v>
      </c>
      <c r="O201" s="1">
        <f t="shared" si="78"/>
        <v>0.15747717955893453</v>
      </c>
      <c r="P201" s="1">
        <f t="shared" si="79"/>
        <v>438.54219807568063</v>
      </c>
    </row>
    <row r="202" spans="1:16" x14ac:dyDescent="0.2">
      <c r="I202">
        <f t="shared" si="81"/>
        <v>422.24289853480991</v>
      </c>
      <c r="J202" s="1">
        <f t="shared" si="74"/>
        <v>8849.5567706754882</v>
      </c>
      <c r="K202">
        <f t="shared" si="75"/>
        <v>0.16699713325109861</v>
      </c>
      <c r="L202">
        <f t="shared" si="80"/>
        <v>7663.9409756375571</v>
      </c>
      <c r="M202" s="1">
        <f t="shared" si="76"/>
        <v>1.8023099373991476</v>
      </c>
      <c r="N202" s="1">
        <f t="shared" si="77"/>
        <v>15.654864116248996</v>
      </c>
      <c r="O202" s="1">
        <f t="shared" si="78"/>
        <v>0.15654864116248995</v>
      </c>
      <c r="P202" s="1">
        <f t="shared" si="79"/>
        <v>435.01069571963484</v>
      </c>
    </row>
    <row r="206" spans="1:16" x14ac:dyDescent="0.2">
      <c r="A206" t="s">
        <v>462</v>
      </c>
      <c r="B206" t="str">
        <f>W4</f>
        <v>WR3.4</v>
      </c>
      <c r="I206" t="s">
        <v>5</v>
      </c>
      <c r="J206" t="s">
        <v>11</v>
      </c>
      <c r="K206" t="s">
        <v>308</v>
      </c>
      <c r="L206" t="s">
        <v>309</v>
      </c>
      <c r="M206" t="s">
        <v>20</v>
      </c>
      <c r="N206" t="s">
        <v>16</v>
      </c>
      <c r="O206" t="s">
        <v>17</v>
      </c>
      <c r="P206" t="s">
        <v>307</v>
      </c>
    </row>
    <row r="207" spans="1:16" x14ac:dyDescent="0.2">
      <c r="A207" t="s">
        <v>0</v>
      </c>
      <c r="B207">
        <f>LOOKUP(W4,AE$30:AE$77,AF$30:AF$77)</f>
        <v>3.4015748031496068E-2</v>
      </c>
      <c r="C207" t="s">
        <v>2</v>
      </c>
      <c r="D207">
        <f>B207*25.4</f>
        <v>0.8640000000000001</v>
      </c>
      <c r="E207" t="s">
        <v>303</v>
      </c>
      <c r="F207">
        <f>D207/1000</f>
        <v>8.6400000000000008E-4</v>
      </c>
      <c r="G207" t="s">
        <v>304</v>
      </c>
      <c r="I207" s="2">
        <f>B211*B$5</f>
        <v>216.86375720465463</v>
      </c>
      <c r="J207" s="1">
        <f t="shared" ref="J207:J227" si="82">2*PI()*I207*1000000000/B$8</f>
        <v>4545.1282604018998</v>
      </c>
      <c r="K207">
        <f t="shared" ref="K207:K227" si="83">(2*PI()*I207*1000000000*B$9*B$214/(2*B$213))^0.5</f>
        <v>0.11967993033129379</v>
      </c>
      <c r="L207">
        <f>(J207^2-B$209^2)^0.5</f>
        <v>2727.0769562411401</v>
      </c>
      <c r="M207" s="1">
        <f t="shared" ref="M207:M227" si="84">K207/(F$207^3*F$208*L207*J207*B$11)*(2*F$208*PI()^2+F$207^3*J207^2)</f>
        <v>2.0100164498038082</v>
      </c>
      <c r="N207" s="1">
        <f t="shared" ref="N207:N227" si="85">M207*8.686</f>
        <v>17.459002882995879</v>
      </c>
      <c r="O207" s="1">
        <f t="shared" ref="O207:O227" si="86">N207/100</f>
        <v>0.17459002882995878</v>
      </c>
      <c r="P207" s="1">
        <f t="shared" ref="P207:P227" si="87">J207*B$11/L207</f>
        <v>627.88385568524416</v>
      </c>
    </row>
    <row r="208" spans="1:16" x14ac:dyDescent="0.2">
      <c r="A208" t="s">
        <v>1</v>
      </c>
      <c r="B208">
        <f>LOOKUP(W4,AE$30:AE$77,AG$30:AG$77)</f>
        <v>1.7007874015748034E-2</v>
      </c>
      <c r="C208" t="s">
        <v>2</v>
      </c>
      <c r="D208">
        <f>B208*25.4</f>
        <v>0.43200000000000005</v>
      </c>
      <c r="E208" t="s">
        <v>303</v>
      </c>
      <c r="F208">
        <f>D208/1000</f>
        <v>4.3200000000000004E-4</v>
      </c>
      <c r="G208" t="s">
        <v>304</v>
      </c>
      <c r="I208">
        <f>I207*B$7</f>
        <v>222.02044913284567</v>
      </c>
      <c r="J208" s="1">
        <f t="shared" si="82"/>
        <v>4653.2045314907982</v>
      </c>
      <c r="K208">
        <f t="shared" si="83"/>
        <v>0.12109447460834219</v>
      </c>
      <c r="L208">
        <f t="shared" ref="L208:L227" si="88">(J208^2-B$209^2)^0.5</f>
        <v>2903.6305263659046</v>
      </c>
      <c r="M208" s="1">
        <f t="shared" si="84"/>
        <v>1.9204930242259706</v>
      </c>
      <c r="N208" s="1">
        <f t="shared" si="85"/>
        <v>16.681402408426781</v>
      </c>
      <c r="O208" s="1">
        <f t="shared" si="86"/>
        <v>0.16681402408426782</v>
      </c>
      <c r="P208" s="1">
        <f t="shared" si="87"/>
        <v>603.72805203584255</v>
      </c>
    </row>
    <row r="209" spans="1:16" x14ac:dyDescent="0.2">
      <c r="A209" t="s">
        <v>9</v>
      </c>
      <c r="B209">
        <f>PI()/F207</f>
        <v>3636.1026083215197</v>
      </c>
      <c r="C209" t="s">
        <v>305</v>
      </c>
      <c r="I209">
        <f t="shared" ref="I209:I227" si="89">I208*B$7</f>
        <v>227.29975939055856</v>
      </c>
      <c r="J209" s="1">
        <f t="shared" si="82"/>
        <v>4763.8506927353264</v>
      </c>
      <c r="K209">
        <f t="shared" si="83"/>
        <v>0.1225257379418455</v>
      </c>
      <c r="L209">
        <f t="shared" si="88"/>
        <v>3077.8289823237892</v>
      </c>
      <c r="M209" s="1">
        <f t="shared" si="84"/>
        <v>1.8441340737644389</v>
      </c>
      <c r="N209" s="1">
        <f t="shared" si="85"/>
        <v>16.018148564717915</v>
      </c>
      <c r="O209" s="1">
        <f t="shared" si="86"/>
        <v>0.16018148564717916</v>
      </c>
      <c r="P209" s="1">
        <f t="shared" si="87"/>
        <v>583.10158713337012</v>
      </c>
    </row>
    <row r="210" spans="1:16" x14ac:dyDescent="0.2">
      <c r="A210" t="s">
        <v>306</v>
      </c>
      <c r="B210">
        <f>2*PI()/B209</f>
        <v>1.7280000000000002E-3</v>
      </c>
      <c r="C210" t="s">
        <v>304</v>
      </c>
      <c r="I210">
        <f t="shared" si="89"/>
        <v>232.70460365608943</v>
      </c>
      <c r="J210" s="1">
        <f t="shared" si="82"/>
        <v>4877.1278522339189</v>
      </c>
      <c r="K210">
        <f t="shared" si="83"/>
        <v>0.12397391794092302</v>
      </c>
      <c r="L210">
        <f t="shared" si="88"/>
        <v>3250.4051914789457</v>
      </c>
      <c r="M210" s="1">
        <f t="shared" si="84"/>
        <v>1.7783019503598243</v>
      </c>
      <c r="N210" s="1">
        <f t="shared" si="85"/>
        <v>15.446330740825434</v>
      </c>
      <c r="O210" s="1">
        <f t="shared" si="86"/>
        <v>0.15446330740825434</v>
      </c>
      <c r="P210" s="1">
        <f t="shared" si="87"/>
        <v>565.27164955773105</v>
      </c>
    </row>
    <row r="211" spans="1:16" x14ac:dyDescent="0.2">
      <c r="A211" t="s">
        <v>8</v>
      </c>
      <c r="B211" s="2">
        <f>B$8/B210/1000000000</f>
        <v>173.49100576372371</v>
      </c>
      <c r="C211" t="s">
        <v>35</v>
      </c>
      <c r="I211">
        <f t="shared" si="89"/>
        <v>238.23796693815146</v>
      </c>
      <c r="J211" s="1">
        <f t="shared" si="82"/>
        <v>4993.0985711431013</v>
      </c>
      <c r="K211">
        <f t="shared" si="83"/>
        <v>0.12543921455031407</v>
      </c>
      <c r="L211">
        <f t="shared" si="88"/>
        <v>3421.9572123141343</v>
      </c>
      <c r="M211" s="1">
        <f t="shared" si="84"/>
        <v>1.7210549762108105</v>
      </c>
      <c r="N211" s="1">
        <f t="shared" si="85"/>
        <v>14.949083523367101</v>
      </c>
      <c r="O211" s="1">
        <f t="shared" si="86"/>
        <v>0.14949083523367102</v>
      </c>
      <c r="P211" s="1">
        <f t="shared" si="87"/>
        <v>549.70049971121875</v>
      </c>
    </row>
    <row r="212" spans="1:16" x14ac:dyDescent="0.2">
      <c r="A212" t="s">
        <v>418</v>
      </c>
      <c r="B212" t="str">
        <f>W5</f>
        <v>Copper</v>
      </c>
      <c r="I212">
        <f t="shared" si="89"/>
        <v>243.90290522444727</v>
      </c>
      <c r="J212" s="1">
        <f t="shared" si="82"/>
        <v>5111.826898229021</v>
      </c>
      <c r="K212">
        <f t="shared" si="83"/>
        <v>0.12692183007798366</v>
      </c>
      <c r="L212">
        <f t="shared" si="88"/>
        <v>3592.983726544719</v>
      </c>
      <c r="M212" s="1">
        <f t="shared" si="84"/>
        <v>1.6709275261909369</v>
      </c>
      <c r="N212" s="1">
        <f t="shared" si="85"/>
        <v>14.513676492494477</v>
      </c>
      <c r="O212" s="1">
        <f t="shared" si="86"/>
        <v>0.14513676492494476</v>
      </c>
      <c r="P212" s="1">
        <f t="shared" si="87"/>
        <v>535.98354349501096</v>
      </c>
    </row>
    <row r="213" spans="1:16" x14ac:dyDescent="0.2">
      <c r="A213" t="s">
        <v>12</v>
      </c>
      <c r="B213" s="40">
        <f>LOOKUP(W5,$AC$85:$AC$115,$AH$85:$AH$115)</f>
        <v>59772863.120143451</v>
      </c>
      <c r="C213" t="s">
        <v>310</v>
      </c>
      <c r="I213">
        <f t="shared" si="89"/>
        <v>249.70254716944191</v>
      </c>
      <c r="J213" s="1">
        <f t="shared" si="82"/>
        <v>5233.3784052405481</v>
      </c>
      <c r="K213">
        <f t="shared" si="83"/>
        <v>0.12842196922305449</v>
      </c>
      <c r="L213">
        <f t="shared" si="88"/>
        <v>3763.9085209653467</v>
      </c>
      <c r="M213" s="1">
        <f t="shared" si="84"/>
        <v>1.6267895253076508</v>
      </c>
      <c r="N213" s="1">
        <f t="shared" si="85"/>
        <v>14.130293816822254</v>
      </c>
      <c r="O213" s="1">
        <f t="shared" si="86"/>
        <v>0.14130293816822254</v>
      </c>
      <c r="P213" s="1">
        <f t="shared" si="87"/>
        <v>523.80983114322339</v>
      </c>
    </row>
    <row r="214" spans="1:16" x14ac:dyDescent="0.2">
      <c r="A214" s="45" t="s">
        <v>434</v>
      </c>
      <c r="B214">
        <f>LOOKUP(W5,$AC$85:$AC$115,$AI$85:$AI$115)</f>
        <v>1</v>
      </c>
      <c r="I214">
        <f t="shared" si="89"/>
        <v>255.64009582226848</v>
      </c>
      <c r="J214" s="1">
        <f t="shared" si="82"/>
        <v>5357.8202231234936</v>
      </c>
      <c r="K214">
        <f t="shared" si="83"/>
        <v>0.12993983910406876</v>
      </c>
      <c r="L214">
        <f t="shared" si="88"/>
        <v>3935.0978850682386</v>
      </c>
      <c r="M214" s="1">
        <f t="shared" si="84"/>
        <v>1.5877535466745585</v>
      </c>
      <c r="N214" s="1">
        <f t="shared" si="85"/>
        <v>13.791227306415214</v>
      </c>
      <c r="O214" s="1">
        <f t="shared" si="86"/>
        <v>0.13791227306415213</v>
      </c>
      <c r="P214" s="1">
        <f t="shared" si="87"/>
        <v>512.93598045348006</v>
      </c>
    </row>
    <row r="215" spans="1:16" x14ac:dyDescent="0.2">
      <c r="I215">
        <f t="shared" si="89"/>
        <v>261.71883039572066</v>
      </c>
      <c r="J215" s="1">
        <f t="shared" si="82"/>
        <v>5485.221079095968</v>
      </c>
      <c r="K215">
        <f t="shared" si="83"/>
        <v>0.13147564928758446</v>
      </c>
      <c r="L215">
        <f t="shared" si="88"/>
        <v>4106.8732763887638</v>
      </c>
      <c r="M215" s="1">
        <f t="shared" si="84"/>
        <v>1.5531115508783946</v>
      </c>
      <c r="N215" s="1">
        <f t="shared" si="85"/>
        <v>13.490326930929735</v>
      </c>
      <c r="O215" s="1">
        <f t="shared" si="86"/>
        <v>0.13490326930929736</v>
      </c>
      <c r="P215" s="1">
        <f t="shared" si="87"/>
        <v>503.16844888730327</v>
      </c>
    </row>
    <row r="216" spans="1:16" x14ac:dyDescent="0.2">
      <c r="B216" s="45"/>
      <c r="I216">
        <f t="shared" si="89"/>
        <v>267.9421080773094</v>
      </c>
      <c r="J216" s="1">
        <f t="shared" si="82"/>
        <v>5615.6513346053025</v>
      </c>
      <c r="K216">
        <f t="shared" si="83"/>
        <v>0.13302961181710932</v>
      </c>
      <c r="L216">
        <f t="shared" si="88"/>
        <v>4279.5207364390417</v>
      </c>
      <c r="M216" s="1">
        <f t="shared" si="84"/>
        <v>1.5222906985921438</v>
      </c>
      <c r="N216" s="1">
        <f t="shared" si="85"/>
        <v>13.222617007971362</v>
      </c>
      <c r="O216" s="1">
        <f t="shared" si="86"/>
        <v>0.13222617007971363</v>
      </c>
      <c r="P216" s="1">
        <f t="shared" si="87"/>
        <v>494.35117098040814</v>
      </c>
    </row>
    <row r="217" spans="1:16" x14ac:dyDescent="0.2">
      <c r="I217">
        <f t="shared" si="89"/>
        <v>274.31336588338365</v>
      </c>
      <c r="J217" s="1">
        <f t="shared" si="82"/>
        <v>5749.1830241875605</v>
      </c>
      <c r="K217">
        <f t="shared" si="83"/>
        <v>0.13460194124237684</v>
      </c>
      <c r="L217">
        <f t="shared" si="88"/>
        <v>4453.2980213953642</v>
      </c>
      <c r="M217" s="1">
        <f t="shared" si="84"/>
        <v>1.4948217907610521</v>
      </c>
      <c r="N217" s="1">
        <f t="shared" si="85"/>
        <v>12.984022074550499</v>
      </c>
      <c r="O217" s="1">
        <f t="shared" si="86"/>
        <v>0.129840220745505</v>
      </c>
      <c r="P217" s="1">
        <f t="shared" si="87"/>
        <v>486.3567432842903</v>
      </c>
    </row>
    <row r="218" spans="1:16" x14ac:dyDescent="0.2">
      <c r="I218">
        <f t="shared" si="89"/>
        <v>280.83612255733931</v>
      </c>
      <c r="J218" s="1">
        <f t="shared" si="82"/>
        <v>5885.8898952510517</v>
      </c>
      <c r="K218">
        <f t="shared" si="83"/>
        <v>0.13619285464896849</v>
      </c>
      <c r="L218">
        <f t="shared" si="88"/>
        <v>4628.4400915185106</v>
      </c>
      <c r="M218" s="1">
        <f t="shared" si="84"/>
        <v>1.4703162804502694</v>
      </c>
      <c r="N218" s="1">
        <f t="shared" si="85"/>
        <v>12.77116721199104</v>
      </c>
      <c r="O218" s="1">
        <f t="shared" si="86"/>
        <v>0.12771167211991041</v>
      </c>
      <c r="P218" s="1">
        <f t="shared" si="87"/>
        <v>479.08001423735425</v>
      </c>
    </row>
    <row r="219" spans="1:16" x14ac:dyDescent="0.2">
      <c r="I219">
        <f t="shared" si="89"/>
        <v>287.51398051296462</v>
      </c>
      <c r="J219" s="1">
        <f t="shared" si="82"/>
        <v>6025.8474488058373</v>
      </c>
      <c r="K219">
        <f t="shared" si="83"/>
        <v>0.13780257168828572</v>
      </c>
      <c r="L219">
        <f t="shared" si="88"/>
        <v>4805.1633997229756</v>
      </c>
      <c r="M219" s="1">
        <f t="shared" si="84"/>
        <v>1.4484492331939427</v>
      </c>
      <c r="N219" s="1">
        <f t="shared" si="85"/>
        <v>12.581230039522586</v>
      </c>
      <c r="O219" s="1">
        <f t="shared" si="86"/>
        <v>0.12581230039522587</v>
      </c>
      <c r="P219" s="1">
        <f t="shared" si="87"/>
        <v>472.43334078654988</v>
      </c>
    </row>
    <row r="220" spans="1:16" x14ac:dyDescent="0.2">
      <c r="I220">
        <f t="shared" si="89"/>
        <v>294.35062782399558</v>
      </c>
      <c r="J220" s="1">
        <f t="shared" si="82"/>
        <v>6169.132981161727</v>
      </c>
      <c r="K220">
        <f t="shared" si="83"/>
        <v>0.13943131460787653</v>
      </c>
      <c r="L220">
        <f t="shared" si="88"/>
        <v>4983.6692868823893</v>
      </c>
      <c r="M220" s="1">
        <f t="shared" si="84"/>
        <v>1.4289464975411499</v>
      </c>
      <c r="N220" s="1">
        <f t="shared" si="85"/>
        <v>12.411829277642427</v>
      </c>
      <c r="O220" s="1">
        <f t="shared" si="86"/>
        <v>0.12411829277642428</v>
      </c>
      <c r="P220" s="1">
        <f t="shared" si="87"/>
        <v>466.34302311860949</v>
      </c>
    </row>
    <row r="221" spans="1:16" x14ac:dyDescent="0.2">
      <c r="I221">
        <f t="shared" si="89"/>
        <v>301.34984026097987</v>
      </c>
      <c r="J221" s="1">
        <f t="shared" si="82"/>
        <v>6315.8256266177978</v>
      </c>
      <c r="K221">
        <f t="shared" si="83"/>
        <v>0.14107930828212029</v>
      </c>
      <c r="L221">
        <f t="shared" si="88"/>
        <v>5164.1467027573435</v>
      </c>
      <c r="M221" s="1">
        <f t="shared" si="84"/>
        <v>1.4115749085703382</v>
      </c>
      <c r="N221" s="1">
        <f t="shared" si="85"/>
        <v>12.260939655841957</v>
      </c>
      <c r="O221" s="1">
        <f t="shared" si="86"/>
        <v>0.12260939655841957</v>
      </c>
      <c r="P221" s="1">
        <f t="shared" si="87"/>
        <v>460.74658694251212</v>
      </c>
    </row>
    <row r="222" spans="1:16" x14ac:dyDescent="0.2">
      <c r="I222">
        <f t="shared" si="89"/>
        <v>308.5154833765742</v>
      </c>
      <c r="J222" s="1">
        <f t="shared" si="82"/>
        <v>6466.0064011669856</v>
      </c>
      <c r="K222">
        <f t="shared" si="83"/>
        <v>0.14274678024327531</v>
      </c>
      <c r="L222">
        <f t="shared" si="88"/>
        <v>5346.7744109593659</v>
      </c>
      <c r="M222" s="1">
        <f t="shared" si="84"/>
        <v>1.396134711405449</v>
      </c>
      <c r="N222" s="1">
        <f t="shared" si="85"/>
        <v>12.12682610326773</v>
      </c>
      <c r="O222" s="1">
        <f t="shared" si="86"/>
        <v>0.12126826103267729</v>
      </c>
      <c r="P222" s="1">
        <f t="shared" si="87"/>
        <v>455.59068529937099</v>
      </c>
    </row>
    <row r="223" spans="1:16" x14ac:dyDescent="0.2">
      <c r="A223" t="s">
        <v>331</v>
      </c>
      <c r="I223">
        <f t="shared" si="89"/>
        <v>315.85151464042701</v>
      </c>
      <c r="J223" s="1">
        <f t="shared" si="82"/>
        <v>6619.7582472399245</v>
      </c>
      <c r="K223">
        <f t="shared" si="83"/>
        <v>0.14443396071289338</v>
      </c>
      <c r="L223">
        <f t="shared" si="88"/>
        <v>5531.7227943614853</v>
      </c>
      <c r="M223" s="1">
        <f t="shared" si="84"/>
        <v>1.3824536333263888</v>
      </c>
      <c r="N223" s="1">
        <f t="shared" si="85"/>
        <v>12.007992259073013</v>
      </c>
      <c r="O223" s="1">
        <f t="shared" si="86"/>
        <v>0.12007992259073014</v>
      </c>
      <c r="P223" s="1">
        <f t="shared" si="87"/>
        <v>450.8294598078428</v>
      </c>
    </row>
    <row r="224" spans="1:16" x14ac:dyDescent="0.2">
      <c r="I224">
        <f t="shared" si="89"/>
        <v>323.36198562482554</v>
      </c>
      <c r="J224" s="1">
        <f t="shared" si="82"/>
        <v>6777.1660795127182</v>
      </c>
      <c r="K224">
        <f t="shared" si="83"/>
        <v>0.14614108263360556</v>
      </c>
      <c r="L224">
        <f t="shared" si="88"/>
        <v>5719.1553476938552</v>
      </c>
      <c r="M224" s="1">
        <f t="shared" si="84"/>
        <v>1.3703821963642007</v>
      </c>
      <c r="N224" s="1">
        <f t="shared" si="85"/>
        <v>11.903139757619448</v>
      </c>
      <c r="O224" s="1">
        <f t="shared" si="86"/>
        <v>0.11903139757619448</v>
      </c>
      <c r="P224" s="1">
        <f t="shared" si="87"/>
        <v>446.42324713276656</v>
      </c>
    </row>
    <row r="225" spans="1:16" x14ac:dyDescent="0.2">
      <c r="I225">
        <f t="shared" si="89"/>
        <v>331.05104424231394</v>
      </c>
      <c r="J225" s="1">
        <f t="shared" si="82"/>
        <v>6938.3168318039507</v>
      </c>
      <c r="K225">
        <f t="shared" si="83"/>
        <v>0.14786838170128366</v>
      </c>
      <c r="L225">
        <f t="shared" si="88"/>
        <v>5909.2299227777094</v>
      </c>
      <c r="M225" s="1">
        <f t="shared" si="84"/>
        <v>1.359789974609195</v>
      </c>
      <c r="N225" s="1">
        <f t="shared" si="85"/>
        <v>11.811135719455468</v>
      </c>
      <c r="O225" s="1">
        <f t="shared" si="86"/>
        <v>0.11811135719455468</v>
      </c>
      <c r="P225" s="1">
        <f t="shared" si="87"/>
        <v>442.33754799688865</v>
      </c>
    </row>
    <row r="226" spans="1:16" x14ac:dyDescent="0.2">
      <c r="I226">
        <f t="shared" si="89"/>
        <v>338.92293703651899</v>
      </c>
      <c r="J226" s="1">
        <f t="shared" si="82"/>
        <v>7103.2995050868403</v>
      </c>
      <c r="K226">
        <f t="shared" si="83"/>
        <v>0.14961609639758197</v>
      </c>
      <c r="L226">
        <f t="shared" si="88"/>
        <v>6102.0997763658697</v>
      </c>
      <c r="M226" s="1">
        <f t="shared" si="84"/>
        <v>1.3505625789853488</v>
      </c>
      <c r="N226" s="1">
        <f t="shared" si="85"/>
        <v>11.730986561066739</v>
      </c>
      <c r="O226" s="1">
        <f t="shared" si="86"/>
        <v>0.11730986561066739</v>
      </c>
      <c r="P226" s="1">
        <f t="shared" si="87"/>
        <v>438.54219807568057</v>
      </c>
    </row>
    <row r="227" spans="1:16" x14ac:dyDescent="0.2">
      <c r="I227">
        <f t="shared" si="89"/>
        <v>346.98201152744781</v>
      </c>
      <c r="J227" s="1">
        <f t="shared" si="82"/>
        <v>7272.2052166430476</v>
      </c>
      <c r="K227">
        <f t="shared" si="83"/>
        <v>0.15138446802286343</v>
      </c>
      <c r="L227">
        <f t="shared" si="88"/>
        <v>6297.9144591465993</v>
      </c>
      <c r="M227" s="1">
        <f t="shared" si="84"/>
        <v>1.3425992079438975</v>
      </c>
      <c r="N227" s="1">
        <f t="shared" si="85"/>
        <v>11.661816720200694</v>
      </c>
      <c r="O227" s="1">
        <f t="shared" si="86"/>
        <v>0.11661816720200693</v>
      </c>
      <c r="P227" s="1">
        <f t="shared" si="87"/>
        <v>435.01069571963484</v>
      </c>
    </row>
    <row r="231" spans="1:16" x14ac:dyDescent="0.2">
      <c r="A231" t="s">
        <v>462</v>
      </c>
      <c r="B231" t="str">
        <f>Y4</f>
        <v>WR4.3</v>
      </c>
      <c r="I231" t="s">
        <v>5</v>
      </c>
      <c r="J231" t="s">
        <v>11</v>
      </c>
      <c r="K231" t="s">
        <v>308</v>
      </c>
      <c r="L231" t="s">
        <v>309</v>
      </c>
      <c r="M231" t="s">
        <v>20</v>
      </c>
      <c r="N231" t="s">
        <v>16</v>
      </c>
      <c r="O231" t="s">
        <v>17</v>
      </c>
      <c r="P231" t="s">
        <v>307</v>
      </c>
    </row>
    <row r="232" spans="1:16" x14ac:dyDescent="0.2">
      <c r="A232" t="s">
        <v>0</v>
      </c>
      <c r="B232">
        <f>LOOKUP(Y4,AE$30:AE$77,AF$30:AF$77)</f>
        <v>4.2992125984251971E-2</v>
      </c>
      <c r="C232" t="s">
        <v>2</v>
      </c>
      <c r="D232">
        <f>B232*25.4</f>
        <v>1.0920000000000001</v>
      </c>
      <c r="E232" t="s">
        <v>303</v>
      </c>
      <c r="F232">
        <f>D232/1000</f>
        <v>1.0920000000000001E-3</v>
      </c>
      <c r="G232" t="s">
        <v>304</v>
      </c>
      <c r="I232" s="2">
        <f>B236*B$5</f>
        <v>171.58451119489158</v>
      </c>
      <c r="J232" s="1">
        <f t="shared" ref="J232:J252" si="90">2*PI()*I232*1000000000/B$8</f>
        <v>3596.1454368015029</v>
      </c>
      <c r="K232">
        <f t="shared" ref="K232:K252" si="91">(2*PI()*I232*1000000000*B$9*B$239/(2*B$238))^0.5</f>
        <v>0.10645519989134365</v>
      </c>
      <c r="L232">
        <f>(J232^2-B$234^2)^0.5</f>
        <v>2157.6872620809017</v>
      </c>
      <c r="M232" s="1">
        <f t="shared" ref="M232:M252" si="92">K232/(F$232^3*F$233*L232*J232*B$11)*(2*F$233*PI()^2+F$232^3*J232^2)</f>
        <v>1.414608514713158</v>
      </c>
      <c r="N232" s="1">
        <f t="shared" ref="N232:N252" si="93">M232*8.686</f>
        <v>12.28728955879849</v>
      </c>
      <c r="O232" s="1">
        <f t="shared" ref="O232:O252" si="94">N232/100</f>
        <v>0.12287289558798489</v>
      </c>
      <c r="P232" s="1">
        <f t="shared" ref="P232:P252" si="95">J232*B$11/L232</f>
        <v>627.88385568524427</v>
      </c>
    </row>
    <row r="233" spans="1:16" x14ac:dyDescent="0.2">
      <c r="A233" t="s">
        <v>1</v>
      </c>
      <c r="B233">
        <f>LOOKUP(Y4,AE$30:AE$77,AG$30:AG$77)</f>
        <v>2.1496062992125985E-2</v>
      </c>
      <c r="C233" t="s">
        <v>2</v>
      </c>
      <c r="D233">
        <f>B233*25.4</f>
        <v>0.54600000000000004</v>
      </c>
      <c r="E233" t="s">
        <v>303</v>
      </c>
      <c r="F233">
        <f>D233/1000</f>
        <v>5.4600000000000004E-4</v>
      </c>
      <c r="G233" t="s">
        <v>304</v>
      </c>
      <c r="I233">
        <f>I232*B$7</f>
        <v>175.66453118203174</v>
      </c>
      <c r="J233" s="1">
        <f t="shared" si="90"/>
        <v>3681.6563326081041</v>
      </c>
      <c r="K233">
        <f t="shared" si="91"/>
        <v>0.10771343586584245</v>
      </c>
      <c r="L233">
        <f t="shared" ref="L233:L252" si="96">(J233^2-B$234^2)^0.5</f>
        <v>2297.3779988829137</v>
      </c>
      <c r="M233" s="1">
        <f t="shared" si="92"/>
        <v>1.3516037566669936</v>
      </c>
      <c r="N233" s="1">
        <f t="shared" si="93"/>
        <v>11.740030230409506</v>
      </c>
      <c r="O233" s="1">
        <f t="shared" si="94"/>
        <v>0.11740030230409505</v>
      </c>
      <c r="P233" s="1">
        <f t="shared" si="95"/>
        <v>603.72805203584244</v>
      </c>
    </row>
    <row r="234" spans="1:16" x14ac:dyDescent="0.2">
      <c r="A234" t="s">
        <v>9</v>
      </c>
      <c r="B234">
        <f>PI()/F232</f>
        <v>2876.9163494412023</v>
      </c>
      <c r="C234" t="s">
        <v>305</v>
      </c>
      <c r="I234">
        <f t="shared" ref="I234:I252" si="97">I233*B$7</f>
        <v>179.84156786945294</v>
      </c>
      <c r="J234" s="1">
        <f t="shared" si="90"/>
        <v>3769.2005480982807</v>
      </c>
      <c r="K234">
        <f t="shared" si="91"/>
        <v>0.10898654342734818</v>
      </c>
      <c r="L234">
        <f t="shared" si="96"/>
        <v>2435.2053486517898</v>
      </c>
      <c r="M234" s="1">
        <f t="shared" si="92"/>
        <v>1.2978638872704091</v>
      </c>
      <c r="N234" s="1">
        <f t="shared" si="93"/>
        <v>11.273245724830774</v>
      </c>
      <c r="O234" s="1">
        <f t="shared" si="94"/>
        <v>0.11273245724830774</v>
      </c>
      <c r="P234" s="1">
        <f t="shared" si="95"/>
        <v>583.10158713337012</v>
      </c>
    </row>
    <row r="235" spans="1:16" x14ac:dyDescent="0.2">
      <c r="A235" t="s">
        <v>306</v>
      </c>
      <c r="B235">
        <f>2*PI()/B234</f>
        <v>2.1840000000000002E-3</v>
      </c>
      <c r="C235" t="s">
        <v>304</v>
      </c>
      <c r="I235">
        <f t="shared" si="97"/>
        <v>184.1179281674554</v>
      </c>
      <c r="J235" s="1">
        <f t="shared" si="90"/>
        <v>3858.8264325367272</v>
      </c>
      <c r="K235">
        <f t="shared" si="91"/>
        <v>0.11027469834901035</v>
      </c>
      <c r="L235">
        <f t="shared" si="96"/>
        <v>2571.7491624888362</v>
      </c>
      <c r="M235" s="1">
        <f t="shared" si="92"/>
        <v>1.2515325837037616</v>
      </c>
      <c r="N235" s="1">
        <f t="shared" si="93"/>
        <v>10.870812022050874</v>
      </c>
      <c r="O235" s="1">
        <f t="shared" si="94"/>
        <v>0.10870812022050874</v>
      </c>
      <c r="P235" s="1">
        <f t="shared" si="95"/>
        <v>565.27164955773105</v>
      </c>
    </row>
    <row r="236" spans="1:16" x14ac:dyDescent="0.2">
      <c r="A236" t="s">
        <v>8</v>
      </c>
      <c r="B236" s="2">
        <f>B$8/B235/1000000000</f>
        <v>137.26760895591326</v>
      </c>
      <c r="C236" t="s">
        <v>35</v>
      </c>
      <c r="I236">
        <f t="shared" si="97"/>
        <v>188.49597384117482</v>
      </c>
      <c r="J236" s="1">
        <f t="shared" si="90"/>
        <v>3950.5834848604768</v>
      </c>
      <c r="K236">
        <f t="shared" si="91"/>
        <v>0.11157807848151068</v>
      </c>
      <c r="L236">
        <f t="shared" si="96"/>
        <v>2707.4826295232729</v>
      </c>
      <c r="M236" s="1">
        <f t="shared" si="92"/>
        <v>1.2112433327970518</v>
      </c>
      <c r="N236" s="1">
        <f t="shared" si="93"/>
        <v>10.520859588675192</v>
      </c>
      <c r="O236" s="1">
        <f t="shared" si="94"/>
        <v>0.10520859588675192</v>
      </c>
      <c r="P236" s="1">
        <f t="shared" si="95"/>
        <v>549.70049971121841</v>
      </c>
    </row>
    <row r="237" spans="1:16" x14ac:dyDescent="0.2">
      <c r="A237" t="s">
        <v>418</v>
      </c>
      <c r="B237" t="str">
        <f>Y5</f>
        <v>Copper</v>
      </c>
      <c r="I237">
        <f t="shared" si="97"/>
        <v>192.97812281494734</v>
      </c>
      <c r="J237" s="1">
        <f t="shared" si="90"/>
        <v>4044.5223810163698</v>
      </c>
      <c r="K237">
        <f t="shared" si="91"/>
        <v>0.11289686377761816</v>
      </c>
      <c r="L237">
        <f t="shared" si="96"/>
        <v>2842.8003111123071</v>
      </c>
      <c r="M237" s="1">
        <f t="shared" si="92"/>
        <v>1.1759646575275571</v>
      </c>
      <c r="N237" s="1">
        <f t="shared" si="93"/>
        <v>10.214429015284361</v>
      </c>
      <c r="O237" s="1">
        <f t="shared" si="94"/>
        <v>0.10214429015284361</v>
      </c>
      <c r="P237" s="1">
        <f t="shared" si="95"/>
        <v>535.98354349501085</v>
      </c>
    </row>
    <row r="238" spans="1:16" x14ac:dyDescent="0.2">
      <c r="A238" t="s">
        <v>12</v>
      </c>
      <c r="B238" s="40">
        <f>LOOKUP(Y5,$AC$85:$AC$115,$AH$85:$AH$115)</f>
        <v>59772863.120143451</v>
      </c>
      <c r="C238" t="s">
        <v>310</v>
      </c>
      <c r="I238">
        <f t="shared" si="97"/>
        <v>197.56685050769036</v>
      </c>
      <c r="J238" s="1">
        <f t="shared" si="90"/>
        <v>4140.6950019485657</v>
      </c>
      <c r="K238">
        <f t="shared" si="91"/>
        <v>0.11423123631703454</v>
      </c>
      <c r="L238">
        <f t="shared" si="96"/>
        <v>2978.0375110934615</v>
      </c>
      <c r="M238" s="1">
        <f t="shared" si="92"/>
        <v>1.1449012342018392</v>
      </c>
      <c r="N238" s="1">
        <f t="shared" si="93"/>
        <v>9.944612120277176</v>
      </c>
      <c r="O238" s="1">
        <f t="shared" si="94"/>
        <v>9.9446121202771756E-2</v>
      </c>
      <c r="P238" s="1">
        <f t="shared" si="95"/>
        <v>523.80983114322339</v>
      </c>
    </row>
    <row r="239" spans="1:16" x14ac:dyDescent="0.2">
      <c r="A239" s="45" t="s">
        <v>434</v>
      </c>
      <c r="B239">
        <f>LOOKUP(Y5,$AC$85:$AC$115,$AI$85:$AI$115)</f>
        <v>1</v>
      </c>
      <c r="I239">
        <f t="shared" si="97"/>
        <v>202.26469120003665</v>
      </c>
      <c r="J239" s="1">
        <f t="shared" si="90"/>
        <v>4239.1544622515576</v>
      </c>
      <c r="K239">
        <f t="shared" si="91"/>
        <v>0.1155813803315333</v>
      </c>
      <c r="L239">
        <f t="shared" si="96"/>
        <v>3113.4840409331146</v>
      </c>
      <c r="M239" s="1">
        <f t="shared" si="92"/>
        <v>1.1174285099065109</v>
      </c>
      <c r="N239" s="1">
        <f t="shared" si="93"/>
        <v>9.7059840370479531</v>
      </c>
      <c r="O239" s="1">
        <f t="shared" si="94"/>
        <v>9.705984037047953E-2</v>
      </c>
      <c r="P239" s="1">
        <f t="shared" si="95"/>
        <v>512.93598045347983</v>
      </c>
    </row>
    <row r="240" spans="1:16" x14ac:dyDescent="0.2">
      <c r="I240">
        <f t="shared" si="97"/>
        <v>207.07423943397683</v>
      </c>
      <c r="J240" s="1">
        <f t="shared" si="90"/>
        <v>4339.9551395045028</v>
      </c>
      <c r="K240">
        <f t="shared" si="91"/>
        <v>0.1169474822303959</v>
      </c>
      <c r="L240">
        <f t="shared" si="96"/>
        <v>3249.3942406592423</v>
      </c>
      <c r="M240" s="1">
        <f t="shared" si="92"/>
        <v>1.0930481809670671</v>
      </c>
      <c r="N240" s="1">
        <f t="shared" si="93"/>
        <v>9.4942164998799452</v>
      </c>
      <c r="O240" s="1">
        <f t="shared" si="94"/>
        <v>9.4942164998799455E-2</v>
      </c>
      <c r="P240" s="1">
        <f t="shared" si="95"/>
        <v>503.16844888730327</v>
      </c>
    </row>
    <row r="241" spans="1:16" x14ac:dyDescent="0.2">
      <c r="B241" s="45"/>
      <c r="I241">
        <f t="shared" si="97"/>
        <v>211.99815144578332</v>
      </c>
      <c r="J241" s="1">
        <f t="shared" si="90"/>
        <v>4443.1527043030974</v>
      </c>
      <c r="K241">
        <f t="shared" si="91"/>
        <v>0.1183297306261486</v>
      </c>
      <c r="L241">
        <f t="shared" si="96"/>
        <v>3385.9944288308911</v>
      </c>
      <c r="M241" s="1">
        <f t="shared" si="92"/>
        <v>1.0713570947676965</v>
      </c>
      <c r="N241" s="1">
        <f t="shared" si="93"/>
        <v>9.3058077251522118</v>
      </c>
      <c r="O241" s="1">
        <f t="shared" si="94"/>
        <v>9.3058077251522112E-2</v>
      </c>
      <c r="P241" s="1">
        <f t="shared" si="95"/>
        <v>494.35117098040814</v>
      </c>
    </row>
    <row r="242" spans="1:16" x14ac:dyDescent="0.2">
      <c r="I242">
        <f t="shared" si="97"/>
        <v>217.03914663300691</v>
      </c>
      <c r="J242" s="1">
        <f t="shared" si="90"/>
        <v>4548.8041510055436</v>
      </c>
      <c r="K242">
        <f t="shared" si="91"/>
        <v>0.11972831636060344</v>
      </c>
      <c r="L242">
        <f t="shared" si="96"/>
        <v>3523.4885444007291</v>
      </c>
      <c r="M242" s="1">
        <f t="shared" si="92"/>
        <v>1.0520250385989389</v>
      </c>
      <c r="N242" s="1">
        <f t="shared" si="93"/>
        <v>9.1378894852703834</v>
      </c>
      <c r="O242" s="1">
        <f t="shared" si="94"/>
        <v>9.137889485270384E-2</v>
      </c>
      <c r="P242" s="1">
        <f t="shared" si="95"/>
        <v>486.35674328429019</v>
      </c>
    </row>
    <row r="243" spans="1:16" x14ac:dyDescent="0.2">
      <c r="I243">
        <f t="shared" si="97"/>
        <v>222.20000905635644</v>
      </c>
      <c r="J243" s="1">
        <f t="shared" si="90"/>
        <v>4656.9678292096251</v>
      </c>
      <c r="K243">
        <f t="shared" si="91"/>
        <v>0.1211434325312071</v>
      </c>
      <c r="L243">
        <f t="shared" si="96"/>
        <v>3662.0624899926697</v>
      </c>
      <c r="M243" s="1">
        <f t="shared" si="92"/>
        <v>1.0347785610656792</v>
      </c>
      <c r="N243" s="1">
        <f t="shared" si="93"/>
        <v>8.9880865814164892</v>
      </c>
      <c r="O243" s="1">
        <f t="shared" si="94"/>
        <v>8.9880865814164893E-2</v>
      </c>
      <c r="P243" s="1">
        <f t="shared" si="95"/>
        <v>479.08001423735413</v>
      </c>
    </row>
    <row r="244" spans="1:16" x14ac:dyDescent="0.2">
      <c r="I244">
        <f t="shared" si="97"/>
        <v>227.48358897729074</v>
      </c>
      <c r="J244" s="1">
        <f t="shared" si="90"/>
        <v>4767.7034759782455</v>
      </c>
      <c r="K244">
        <f t="shared" si="91"/>
        <v>0.12257527451770105</v>
      </c>
      <c r="L244">
        <f t="shared" si="96"/>
        <v>3801.8875250555411</v>
      </c>
      <c r="M244" s="1">
        <f t="shared" si="92"/>
        <v>1.0193889799289413</v>
      </c>
      <c r="N244" s="1">
        <f t="shared" si="93"/>
        <v>8.8544126796627847</v>
      </c>
      <c r="O244" s="1">
        <f t="shared" si="94"/>
        <v>8.8544126796627848E-2</v>
      </c>
      <c r="P244" s="1">
        <f t="shared" si="95"/>
        <v>472.43334078654988</v>
      </c>
    </row>
    <row r="245" spans="1:16" x14ac:dyDescent="0.2">
      <c r="I245">
        <f t="shared" si="97"/>
        <v>232.8928044321724</v>
      </c>
      <c r="J245" s="1">
        <f t="shared" si="90"/>
        <v>4881.0722488312576</v>
      </c>
      <c r="K245">
        <f t="shared" si="91"/>
        <v>0.124024040009097</v>
      </c>
      <c r="L245">
        <f t="shared" si="96"/>
        <v>3943.1229522585945</v>
      </c>
      <c r="M245" s="1">
        <f t="shared" si="92"/>
        <v>1.0056633529982091</v>
      </c>
      <c r="N245" s="1">
        <f t="shared" si="93"/>
        <v>8.7351918841424432</v>
      </c>
      <c r="O245" s="1">
        <f t="shared" si="94"/>
        <v>8.7351918841424431E-2</v>
      </c>
      <c r="P245" s="1">
        <f t="shared" si="95"/>
        <v>466.34302311860949</v>
      </c>
    </row>
    <row r="246" spans="1:16" x14ac:dyDescent="0.2">
      <c r="I246">
        <f t="shared" si="97"/>
        <v>238.43064284385227</v>
      </c>
      <c r="J246" s="1">
        <f t="shared" si="90"/>
        <v>4997.1367595217744</v>
      </c>
      <c r="K246">
        <f t="shared" si="91"/>
        <v>0.125489929030971</v>
      </c>
      <c r="L246">
        <f t="shared" si="96"/>
        <v>4085.9182703135025</v>
      </c>
      <c r="M246" s="1">
        <f t="shared" si="92"/>
        <v>0.99343758356502609</v>
      </c>
      <c r="N246" s="1">
        <f t="shared" si="93"/>
        <v>8.6289988508458162</v>
      </c>
      <c r="O246" s="1">
        <f t="shared" si="94"/>
        <v>8.6289988508458162E-2</v>
      </c>
      <c r="P246" s="1">
        <f t="shared" si="95"/>
        <v>460.74658694251224</v>
      </c>
    </row>
    <row r="247" spans="1:16" x14ac:dyDescent="0.2">
      <c r="I247">
        <f t="shared" si="97"/>
        <v>244.10016267157525</v>
      </c>
      <c r="J247" s="1">
        <f t="shared" si="90"/>
        <v>5115.9611086156383</v>
      </c>
      <c r="K247">
        <f t="shared" si="91"/>
        <v>0.12697314397308027</v>
      </c>
      <c r="L247">
        <f t="shared" si="96"/>
        <v>4230.4149185612578</v>
      </c>
      <c r="M247" s="1">
        <f t="shared" si="92"/>
        <v>0.98257108822841632</v>
      </c>
      <c r="N247" s="1">
        <f t="shared" si="93"/>
        <v>8.5346124723520234</v>
      </c>
      <c r="O247" s="1">
        <f t="shared" si="94"/>
        <v>8.5346124723520239E-2</v>
      </c>
      <c r="P247" s="1">
        <f t="shared" si="95"/>
        <v>455.59068529937099</v>
      </c>
    </row>
    <row r="248" spans="1:16" x14ac:dyDescent="0.2">
      <c r="A248" t="s">
        <v>331</v>
      </c>
      <c r="I248">
        <f t="shared" si="97"/>
        <v>249.90449510011814</v>
      </c>
      <c r="J248" s="1">
        <f t="shared" si="90"/>
        <v>5237.6109208931284</v>
      </c>
      <c r="K248">
        <f t="shared" si="91"/>
        <v>0.1284738896173063</v>
      </c>
      <c r="L248">
        <f t="shared" si="96"/>
        <v>4376.7477054288693</v>
      </c>
      <c r="M248" s="1">
        <f t="shared" si="92"/>
        <v>0.97294262496734041</v>
      </c>
      <c r="N248" s="1">
        <f t="shared" si="93"/>
        <v>8.4509796404663184</v>
      </c>
      <c r="O248" s="1">
        <f t="shared" si="94"/>
        <v>8.450979640466319E-2</v>
      </c>
      <c r="P248" s="1">
        <f t="shared" si="95"/>
        <v>450.82945980784268</v>
      </c>
    </row>
    <row r="249" spans="1:16" x14ac:dyDescent="0.2">
      <c r="I249">
        <f t="shared" si="97"/>
        <v>255.84684576909279</v>
      </c>
      <c r="J249" s="1">
        <f t="shared" si="90"/>
        <v>5362.1533815924822</v>
      </c>
      <c r="K249">
        <f t="shared" si="91"/>
        <v>0.1299923731659284</v>
      </c>
      <c r="L249">
        <f t="shared" si="96"/>
        <v>4525.0459893841517</v>
      </c>
      <c r="M249" s="1">
        <f t="shared" si="92"/>
        <v>0.96444699424093439</v>
      </c>
      <c r="N249" s="1">
        <f t="shared" si="93"/>
        <v>8.3771865919767556</v>
      </c>
      <c r="O249" s="1">
        <f t="shared" si="94"/>
        <v>8.3771865919767555E-2</v>
      </c>
      <c r="P249" s="1">
        <f t="shared" si="95"/>
        <v>446.42324713276651</v>
      </c>
    </row>
    <row r="250" spans="1:16" x14ac:dyDescent="0.2">
      <c r="I250">
        <f t="shared" si="97"/>
        <v>261.93049654336932</v>
      </c>
      <c r="J250" s="1">
        <f t="shared" si="90"/>
        <v>5489.6572735152149</v>
      </c>
      <c r="K250">
        <f t="shared" si="91"/>
        <v>0.13152880427023131</v>
      </c>
      <c r="L250">
        <f t="shared" si="96"/>
        <v>4675.4346641757711</v>
      </c>
      <c r="M250" s="1">
        <f t="shared" si="92"/>
        <v>0.95699240495843185</v>
      </c>
      <c r="N250" s="1">
        <f t="shared" si="93"/>
        <v>8.3124360294689392</v>
      </c>
      <c r="O250" s="1">
        <f t="shared" si="94"/>
        <v>8.3124360294689392E-2</v>
      </c>
      <c r="P250" s="1">
        <f t="shared" si="95"/>
        <v>442.33754799688865</v>
      </c>
    </row>
    <row r="251" spans="1:16" x14ac:dyDescent="0.2">
      <c r="I251">
        <f t="shared" si="97"/>
        <v>268.15880732559748</v>
      </c>
      <c r="J251" s="1">
        <f t="shared" si="90"/>
        <v>5620.1930150137641</v>
      </c>
      <c r="K251">
        <f t="shared" si="91"/>
        <v>0.13308339505945091</v>
      </c>
      <c r="L251">
        <f t="shared" si="96"/>
        <v>4828.034987893875</v>
      </c>
      <c r="M251" s="1">
        <f t="shared" si="92"/>
        <v>0.95049835242498448</v>
      </c>
      <c r="N251" s="1">
        <f t="shared" si="93"/>
        <v>8.2560286891634149</v>
      </c>
      <c r="O251" s="1">
        <f t="shared" si="94"/>
        <v>8.2560286891634152E-2</v>
      </c>
      <c r="P251" s="1">
        <f t="shared" si="95"/>
        <v>438.54219807568057</v>
      </c>
    </row>
    <row r="252" spans="1:16" x14ac:dyDescent="0.2">
      <c r="I252">
        <f t="shared" si="97"/>
        <v>274.53521791182686</v>
      </c>
      <c r="J252" s="1">
        <f t="shared" si="90"/>
        <v>5753.8326988824119</v>
      </c>
      <c r="K252">
        <f t="shared" si="91"/>
        <v>0.13465636017006222</v>
      </c>
      <c r="L252">
        <f t="shared" si="96"/>
        <v>4982.9652863577494</v>
      </c>
      <c r="M252" s="1">
        <f t="shared" si="92"/>
        <v>0.94489389456984774</v>
      </c>
      <c r="N252" s="1">
        <f t="shared" si="93"/>
        <v>8.2073483682336974</v>
      </c>
      <c r="O252" s="1">
        <f t="shared" si="94"/>
        <v>8.2073483682336967E-2</v>
      </c>
      <c r="P252" s="1">
        <f t="shared" si="95"/>
        <v>435.0106957196349</v>
      </c>
    </row>
    <row r="256" spans="1:16" x14ac:dyDescent="0.2">
      <c r="A256" t="s">
        <v>462</v>
      </c>
      <c r="B256" t="str">
        <f>AA4</f>
        <v>WR5.1</v>
      </c>
      <c r="I256" t="s">
        <v>5</v>
      </c>
      <c r="J256" t="s">
        <v>11</v>
      </c>
      <c r="K256" t="s">
        <v>308</v>
      </c>
      <c r="L256" t="s">
        <v>309</v>
      </c>
      <c r="M256" t="s">
        <v>20</v>
      </c>
      <c r="N256" t="s">
        <v>16</v>
      </c>
      <c r="O256" t="s">
        <v>17</v>
      </c>
      <c r="P256" t="s">
        <v>307</v>
      </c>
    </row>
    <row r="257" spans="1:16" x14ac:dyDescent="0.2">
      <c r="A257" t="s">
        <v>0</v>
      </c>
      <c r="B257">
        <f>LOOKUP(AA4,AE$30:AE$77,AF$30:AF$77)</f>
        <v>5.0984251968503938E-2</v>
      </c>
      <c r="C257" t="s">
        <v>2</v>
      </c>
      <c r="D257">
        <f>B257*25.4</f>
        <v>1.2949999999999999</v>
      </c>
      <c r="E257" t="s">
        <v>303</v>
      </c>
      <c r="F257">
        <f>D257/1000</f>
        <v>1.2949999999999999E-3</v>
      </c>
      <c r="G257" t="s">
        <v>304</v>
      </c>
      <c r="I257" s="2">
        <f>B261*B$5</f>
        <v>144.68747971028694</v>
      </c>
      <c r="J257" s="1">
        <f t="shared" ref="J257:J277" si="98">2*PI()*I257*1000000000/B$8</f>
        <v>3032.4253413028887</v>
      </c>
      <c r="K257">
        <f t="shared" ref="K257:K277" si="99">(2*PI()*I257*1000000000*B$9*B$264/(2*B$263))^0.5</f>
        <v>9.7755975695947225E-2</v>
      </c>
      <c r="L257">
        <f>(J257^2-B$259^2)^0.5</f>
        <v>1819.4552047817328</v>
      </c>
      <c r="M257" s="1">
        <f t="shared" ref="M257:M277" si="100">K257/(F$257^3*F$258*L257*J257*B$11)*(2*F$258*PI()^2+F$257^3*J257^2)</f>
        <v>1.0953819311509974</v>
      </c>
      <c r="N257" s="1">
        <f t="shared" ref="N257:N277" si="101">M257*8.686</f>
        <v>9.5144874539775621</v>
      </c>
      <c r="O257" s="1">
        <f t="shared" ref="O257:O277" si="102">N257/100</f>
        <v>9.5144874539775617E-2</v>
      </c>
      <c r="P257" s="1">
        <f t="shared" ref="P257:P277" si="103">J257*B$11/L257</f>
        <v>627.88385568524438</v>
      </c>
    </row>
    <row r="258" spans="1:16" x14ac:dyDescent="0.2">
      <c r="A258" t="s">
        <v>1</v>
      </c>
      <c r="B258">
        <f>LOOKUP(AA4,AE$30:AE$77,AG$30:AG$77)</f>
        <v>2.5492125984251969E-2</v>
      </c>
      <c r="C258" t="s">
        <v>2</v>
      </c>
      <c r="D258">
        <f>B258*25.4</f>
        <v>0.64749999999999996</v>
      </c>
      <c r="E258" t="s">
        <v>303</v>
      </c>
      <c r="F258">
        <f>D258/1000</f>
        <v>6.4749999999999996E-4</v>
      </c>
      <c r="G258" t="s">
        <v>304</v>
      </c>
      <c r="I258">
        <f>I257*B$7</f>
        <v>148.12792899674025</v>
      </c>
      <c r="J258" s="1">
        <f t="shared" si="98"/>
        <v>3104.5318264154816</v>
      </c>
      <c r="K258">
        <f t="shared" si="99"/>
        <v>9.8911392110254973E-2</v>
      </c>
      <c r="L258">
        <f t="shared" ref="L258:L277" si="104">(J258^2-B$259^2)^0.5</f>
        <v>1937.2484747336989</v>
      </c>
      <c r="M258" s="1">
        <f t="shared" si="100"/>
        <v>1.0465950952013336</v>
      </c>
      <c r="N258" s="1">
        <f t="shared" si="101"/>
        <v>9.0907249969187838</v>
      </c>
      <c r="O258" s="1">
        <f t="shared" si="102"/>
        <v>9.0907249969187837E-2</v>
      </c>
      <c r="P258" s="1">
        <f t="shared" si="103"/>
        <v>603.72805203584278</v>
      </c>
    </row>
    <row r="259" spans="1:16" x14ac:dyDescent="0.2">
      <c r="A259" t="s">
        <v>9</v>
      </c>
      <c r="B259">
        <f>PI()/F257</f>
        <v>2425.9402730423112</v>
      </c>
      <c r="C259" t="s">
        <v>305</v>
      </c>
      <c r="I259">
        <f t="shared" ref="I259:I277" si="105">I258*B$7</f>
        <v>151.65018696018731</v>
      </c>
      <c r="J259" s="1">
        <f t="shared" si="98"/>
        <v>3178.3528946126039</v>
      </c>
      <c r="K259">
        <f t="shared" si="99"/>
        <v>0.100080464846654</v>
      </c>
      <c r="L259">
        <f t="shared" si="104"/>
        <v>2053.4704561604276</v>
      </c>
      <c r="M259" s="1">
        <f t="shared" si="100"/>
        <v>1.004982393660816</v>
      </c>
      <c r="N259" s="1">
        <f t="shared" si="101"/>
        <v>8.7292770713378474</v>
      </c>
      <c r="O259" s="1">
        <f t="shared" si="102"/>
        <v>8.7292770713378473E-2</v>
      </c>
      <c r="P259" s="1">
        <f t="shared" si="103"/>
        <v>583.10158713337023</v>
      </c>
    </row>
    <row r="260" spans="1:16" x14ac:dyDescent="0.2">
      <c r="A260" t="s">
        <v>306</v>
      </c>
      <c r="B260">
        <f>2*PI()/B259</f>
        <v>2.5900000000000003E-3</v>
      </c>
      <c r="C260" t="s">
        <v>304</v>
      </c>
      <c r="I260">
        <f t="shared" si="105"/>
        <v>155.25619888715153</v>
      </c>
      <c r="J260" s="1">
        <f t="shared" si="98"/>
        <v>3253.9293160850229</v>
      </c>
      <c r="K260">
        <f t="shared" si="99"/>
        <v>0.10126335531459875</v>
      </c>
      <c r="L260">
        <f t="shared" si="104"/>
        <v>2168.6101045851792</v>
      </c>
      <c r="M260" s="1">
        <f t="shared" si="100"/>
        <v>0.96910640942508708</v>
      </c>
      <c r="N260" s="1">
        <f t="shared" si="101"/>
        <v>8.4176582722663067</v>
      </c>
      <c r="O260" s="1">
        <f t="shared" si="102"/>
        <v>8.4176582722663068E-2</v>
      </c>
      <c r="P260" s="1">
        <f t="shared" si="103"/>
        <v>565.27164955773128</v>
      </c>
    </row>
    <row r="261" spans="1:16" x14ac:dyDescent="0.2">
      <c r="A261" t="s">
        <v>8</v>
      </c>
      <c r="B261" s="2">
        <f>B$8/B260/1000000000</f>
        <v>115.74998376822955</v>
      </c>
      <c r="C261" t="s">
        <v>35</v>
      </c>
      <c r="I261">
        <f t="shared" si="105"/>
        <v>158.94795632012571</v>
      </c>
      <c r="J261" s="1">
        <f t="shared" si="98"/>
        <v>3331.3028304769409</v>
      </c>
      <c r="K261">
        <f t="shared" si="99"/>
        <v>0.10246022683130558</v>
      </c>
      <c r="L261">
        <f t="shared" si="104"/>
        <v>2283.0664335439465</v>
      </c>
      <c r="M261" s="1">
        <f t="shared" si="100"/>
        <v>0.93790900250733844</v>
      </c>
      <c r="N261" s="1">
        <f t="shared" si="101"/>
        <v>8.1466775957787423</v>
      </c>
      <c r="O261" s="1">
        <f t="shared" si="102"/>
        <v>8.1466775957787424E-2</v>
      </c>
      <c r="P261" s="1">
        <f t="shared" si="103"/>
        <v>549.70049971121887</v>
      </c>
    </row>
    <row r="262" spans="1:16" x14ac:dyDescent="0.2">
      <c r="A262" t="s">
        <v>418</v>
      </c>
      <c r="B262" t="str">
        <f>AA5</f>
        <v>Copper</v>
      </c>
      <c r="I262">
        <f t="shared" si="105"/>
        <v>162.72749815746903</v>
      </c>
      <c r="J262" s="1">
        <f t="shared" si="98"/>
        <v>3410.516169938126</v>
      </c>
      <c r="K262">
        <f t="shared" si="99"/>
        <v>0.10367124464430147</v>
      </c>
      <c r="L262">
        <f t="shared" si="104"/>
        <v>2397.1721542352398</v>
      </c>
      <c r="M262" s="1">
        <f t="shared" si="100"/>
        <v>0.91059146338381325</v>
      </c>
      <c r="N262" s="1">
        <f t="shared" si="101"/>
        <v>7.9093974509518015</v>
      </c>
      <c r="O262" s="1">
        <f t="shared" si="102"/>
        <v>7.9093974509518009E-2</v>
      </c>
      <c r="P262" s="1">
        <f t="shared" si="103"/>
        <v>535.98354349501119</v>
      </c>
    </row>
    <row r="263" spans="1:16" x14ac:dyDescent="0.2">
      <c r="A263" t="s">
        <v>12</v>
      </c>
      <c r="B263" s="40">
        <f>LOOKUP(AA5,$AC$85:$AC$115,$AH$85:$AH$115)</f>
        <v>59772863.120143451</v>
      </c>
      <c r="C263" t="s">
        <v>310</v>
      </c>
      <c r="I263">
        <f t="shared" si="105"/>
        <v>166.59691177945774</v>
      </c>
      <c r="J263" s="1">
        <f t="shared" si="98"/>
        <v>3491.613082724195</v>
      </c>
      <c r="K263">
        <f t="shared" si="99"/>
        <v>0.10489657595423905</v>
      </c>
      <c r="L263">
        <f t="shared" si="104"/>
        <v>2511.210009354485</v>
      </c>
      <c r="M263" s="1">
        <f t="shared" si="100"/>
        <v>0.88653794449375789</v>
      </c>
      <c r="N263" s="1">
        <f t="shared" si="101"/>
        <v>7.7004685858727813</v>
      </c>
      <c r="O263" s="1">
        <f t="shared" si="102"/>
        <v>7.7004685858727814E-2</v>
      </c>
      <c r="P263" s="1">
        <f t="shared" si="103"/>
        <v>523.80983114322351</v>
      </c>
    </row>
    <row r="264" spans="1:16" x14ac:dyDescent="0.2">
      <c r="A264" s="45" t="s">
        <v>434</v>
      </c>
      <c r="B264">
        <f>LOOKUP(AA5,$AC$85:$AC$115,$AI$85:$AI$115)</f>
        <v>1</v>
      </c>
      <c r="I264">
        <f t="shared" si="105"/>
        <v>170.5583342011119</v>
      </c>
      <c r="J264" s="1">
        <f t="shared" si="98"/>
        <v>3574.6383573580683</v>
      </c>
      <c r="K264">
        <f t="shared" si="99"/>
        <v>0.10613638993798134</v>
      </c>
      <c r="L264">
        <f t="shared" si="104"/>
        <v>2625.4243804625162</v>
      </c>
      <c r="M264" s="1">
        <f t="shared" si="100"/>
        <v>0.86526483219477146</v>
      </c>
      <c r="N264" s="1">
        <f t="shared" si="101"/>
        <v>7.5156903324437847</v>
      </c>
      <c r="O264" s="1">
        <f t="shared" si="102"/>
        <v>7.5156903324437849E-2</v>
      </c>
      <c r="P264" s="1">
        <f t="shared" si="103"/>
        <v>512.93598045348006</v>
      </c>
    </row>
    <row r="265" spans="1:16" x14ac:dyDescent="0.2">
      <c r="I265">
        <f t="shared" si="105"/>
        <v>174.61395325243444</v>
      </c>
      <c r="J265" s="1">
        <f t="shared" si="98"/>
        <v>3659.6378473659574</v>
      </c>
      <c r="K265">
        <f t="shared" si="99"/>
        <v>0.10739085777195945</v>
      </c>
      <c r="L265">
        <f t="shared" si="104"/>
        <v>2740.0297380694128</v>
      </c>
      <c r="M265" s="1">
        <f t="shared" si="100"/>
        <v>0.84638627214227535</v>
      </c>
      <c r="N265" s="1">
        <f t="shared" si="101"/>
        <v>7.3517111598278033</v>
      </c>
      <c r="O265" s="1">
        <f t="shared" si="102"/>
        <v>7.3517111598278034E-2</v>
      </c>
      <c r="P265" s="1">
        <f t="shared" si="103"/>
        <v>503.16844888730344</v>
      </c>
    </row>
    <row r="266" spans="1:16" x14ac:dyDescent="0.2">
      <c r="B266" s="45"/>
      <c r="I266">
        <f t="shared" si="105"/>
        <v>178.76600878671451</v>
      </c>
      <c r="J266" s="1">
        <f t="shared" si="98"/>
        <v>3746.6584966015289</v>
      </c>
      <c r="K266">
        <f t="shared" si="99"/>
        <v>0.10866015265580617</v>
      </c>
      <c r="L266">
        <f t="shared" si="104"/>
        <v>2855.2169237709113</v>
      </c>
      <c r="M266" s="1">
        <f t="shared" si="100"/>
        <v>0.82959008885714436</v>
      </c>
      <c r="N266" s="1">
        <f t="shared" si="101"/>
        <v>7.2058195118131563</v>
      </c>
      <c r="O266" s="1">
        <f t="shared" si="102"/>
        <v>7.2058195118131566E-2</v>
      </c>
      <c r="P266" s="1">
        <f t="shared" si="103"/>
        <v>494.35117098040826</v>
      </c>
    </row>
    <row r="267" spans="1:16" x14ac:dyDescent="0.2">
      <c r="I267">
        <f t="shared" si="105"/>
        <v>183.01679391756252</v>
      </c>
      <c r="J267" s="1">
        <f t="shared" si="98"/>
        <v>3835.7483651722414</v>
      </c>
      <c r="K267">
        <f t="shared" si="99"/>
        <v>0.10994444983626907</v>
      </c>
      <c r="L267">
        <f t="shared" si="104"/>
        <v>2971.1579077108845</v>
      </c>
      <c r="M267" s="1">
        <f t="shared" si="100"/>
        <v>0.81462058683661731</v>
      </c>
      <c r="N267" s="1">
        <f t="shared" si="101"/>
        <v>7.0757944172628582</v>
      </c>
      <c r="O267" s="1">
        <f t="shared" si="102"/>
        <v>7.0757944172628581E-2</v>
      </c>
      <c r="P267" s="1">
        <f t="shared" si="103"/>
        <v>486.35674328429019</v>
      </c>
    </row>
    <row r="268" spans="1:16" x14ac:dyDescent="0.2">
      <c r="I268">
        <f t="shared" si="105"/>
        <v>187.36865628535995</v>
      </c>
      <c r="J268" s="1">
        <f t="shared" si="98"/>
        <v>3926.9566559821687</v>
      </c>
      <c r="K268">
        <f t="shared" si="99"/>
        <v>0.11124392663140609</v>
      </c>
      <c r="L268">
        <f t="shared" si="104"/>
        <v>3088.0094510208442</v>
      </c>
      <c r="M268" s="1">
        <f t="shared" si="100"/>
        <v>0.80126602289228455</v>
      </c>
      <c r="N268" s="1">
        <f t="shared" si="101"/>
        <v>6.9597966748423836</v>
      </c>
      <c r="O268" s="1">
        <f t="shared" si="102"/>
        <v>6.9597966748423834E-2</v>
      </c>
      <c r="P268" s="1">
        <f t="shared" si="103"/>
        <v>479.08001423735425</v>
      </c>
    </row>
    <row r="269" spans="1:16" x14ac:dyDescent="0.2">
      <c r="I269">
        <f t="shared" si="105"/>
        <v>191.82399935382347</v>
      </c>
      <c r="J269" s="1">
        <f t="shared" si="98"/>
        <v>4020.3337419059776</v>
      </c>
      <c r="K269">
        <f t="shared" si="99"/>
        <v>0.11255876245506714</v>
      </c>
      <c r="L269">
        <f t="shared" si="104"/>
        <v>3205.9159670738591</v>
      </c>
      <c r="M269" s="1">
        <f t="shared" si="100"/>
        <v>0.78934932019338766</v>
      </c>
      <c r="N269" s="1">
        <f t="shared" si="101"/>
        <v>6.856288195199765</v>
      </c>
      <c r="O269" s="1">
        <f t="shared" si="102"/>
        <v>6.8562881951997653E-2</v>
      </c>
      <c r="P269" s="1">
        <f t="shared" si="103"/>
        <v>472.43334078654999</v>
      </c>
    </row>
    <row r="270" spans="1:16" x14ac:dyDescent="0.2">
      <c r="I270">
        <f t="shared" si="105"/>
        <v>196.38528373739936</v>
      </c>
      <c r="J270" s="1">
        <f t="shared" si="98"/>
        <v>4115.9311936090589</v>
      </c>
      <c r="K270">
        <f t="shared" si="99"/>
        <v>0.11388913884166531</v>
      </c>
      <c r="L270">
        <f t="shared" si="104"/>
        <v>3325.0117867694075</v>
      </c>
      <c r="M270" s="1">
        <f t="shared" si="100"/>
        <v>0.77872107670604207</v>
      </c>
      <c r="N270" s="1">
        <f t="shared" si="101"/>
        <v>6.7639712722686811</v>
      </c>
      <c r="O270" s="1">
        <f t="shared" si="102"/>
        <v>6.7639712722686818E-2</v>
      </c>
      <c r="P270" s="1">
        <f t="shared" si="103"/>
        <v>466.34302311860961</v>
      </c>
    </row>
    <row r="271" spans="1:16" x14ac:dyDescent="0.2">
      <c r="I271">
        <f t="shared" si="105"/>
        <v>201.0550285602213</v>
      </c>
      <c r="J271" s="1">
        <f t="shared" si="98"/>
        <v>4213.8018080291713</v>
      </c>
      <c r="K271">
        <f t="shared" si="99"/>
        <v>0.11523523947124033</v>
      </c>
      <c r="L271">
        <f t="shared" si="104"/>
        <v>3445.4229738859799</v>
      </c>
      <c r="M271" s="1">
        <f t="shared" si="100"/>
        <v>0.76925422648406216</v>
      </c>
      <c r="N271" s="1">
        <f t="shared" si="101"/>
        <v>6.6817422112405636</v>
      </c>
      <c r="O271" s="1">
        <f t="shared" si="102"/>
        <v>6.6817422112405642E-2</v>
      </c>
      <c r="P271" s="1">
        <f t="shared" si="103"/>
        <v>460.74658694251224</v>
      </c>
    </row>
    <row r="272" spans="1:16" x14ac:dyDescent="0.2">
      <c r="I272">
        <f t="shared" si="105"/>
        <v>205.8358128473823</v>
      </c>
      <c r="J272" s="1">
        <f t="shared" si="98"/>
        <v>4313.9996375353476</v>
      </c>
      <c r="K272">
        <f t="shared" si="99"/>
        <v>0.11659725019481877</v>
      </c>
      <c r="L272">
        <f t="shared" si="104"/>
        <v>3567.2687961921943</v>
      </c>
      <c r="M272" s="1">
        <f t="shared" si="100"/>
        <v>0.76083991077561142</v>
      </c>
      <c r="N272" s="1">
        <f t="shared" si="101"/>
        <v>6.6086554649969607</v>
      </c>
      <c r="O272" s="1">
        <f t="shared" si="102"/>
        <v>6.6086554649969612E-2</v>
      </c>
      <c r="P272" s="1">
        <f t="shared" si="103"/>
        <v>455.59068529937099</v>
      </c>
    </row>
    <row r="273" spans="1:16" x14ac:dyDescent="0.2">
      <c r="A273" t="s">
        <v>331</v>
      </c>
      <c r="I273">
        <f t="shared" si="105"/>
        <v>210.73027694928874</v>
      </c>
      <c r="J273" s="1">
        <f t="shared" si="98"/>
        <v>4416.58001978015</v>
      </c>
      <c r="K273">
        <f t="shared" si="99"/>
        <v>0.11797535906007382</v>
      </c>
      <c r="L273">
        <f t="shared" si="104"/>
        <v>3690.6629299832607</v>
      </c>
      <c r="M273" s="1">
        <f t="shared" si="100"/>
        <v>0.75338424755060096</v>
      </c>
      <c r="N273" s="1">
        <f t="shared" si="101"/>
        <v>6.5438955742245195</v>
      </c>
      <c r="O273" s="1">
        <f t="shared" si="102"/>
        <v>6.5438955742245189E-2</v>
      </c>
      <c r="P273" s="1">
        <f t="shared" si="103"/>
        <v>450.82945980784274</v>
      </c>
    </row>
    <row r="274" spans="1:16" x14ac:dyDescent="0.2">
      <c r="I274">
        <f t="shared" si="105"/>
        <v>215.74112399988357</v>
      </c>
      <c r="J274" s="1">
        <f t="shared" si="98"/>
        <v>4521.5996082617667</v>
      </c>
      <c r="K274">
        <f t="shared" si="99"/>
        <v>0.11936975633728815</v>
      </c>
      <c r="L274">
        <f t="shared" si="104"/>
        <v>3815.7144559131202</v>
      </c>
      <c r="M274" s="1">
        <f t="shared" si="100"/>
        <v>0.7468057770447003</v>
      </c>
      <c r="N274" s="1">
        <f t="shared" si="101"/>
        <v>6.486754979410267</v>
      </c>
      <c r="O274" s="1">
        <f t="shared" si="102"/>
        <v>6.4867549794102669E-2</v>
      </c>
      <c r="P274" s="1">
        <f t="shared" si="103"/>
        <v>446.42324713276656</v>
      </c>
    </row>
    <row r="275" spans="1:16" x14ac:dyDescent="0.2">
      <c r="I275">
        <f t="shared" si="105"/>
        <v>220.87112140954378</v>
      </c>
      <c r="J275" s="1">
        <f t="shared" si="98"/>
        <v>4629.1164036128284</v>
      </c>
      <c r="K275">
        <f t="shared" si="99"/>
        <v>0.12078063454562399</v>
      </c>
      <c r="L275">
        <f t="shared" si="104"/>
        <v>3942.5286897914593</v>
      </c>
      <c r="M275" s="1">
        <f t="shared" si="100"/>
        <v>0.74103342213570922</v>
      </c>
      <c r="N275" s="1">
        <f t="shared" si="101"/>
        <v>6.4366163046707703</v>
      </c>
      <c r="O275" s="1">
        <f t="shared" si="102"/>
        <v>6.4366163046707697E-2</v>
      </c>
      <c r="P275" s="1">
        <f t="shared" si="103"/>
        <v>442.3375479968887</v>
      </c>
    </row>
    <row r="276" spans="1:16" x14ac:dyDescent="0.2">
      <c r="I276">
        <f t="shared" si="105"/>
        <v>226.1231023934767</v>
      </c>
      <c r="J276" s="1">
        <f t="shared" si="98"/>
        <v>4739.1897856332271</v>
      </c>
      <c r="K276">
        <f t="shared" si="99"/>
        <v>0.12220818847970338</v>
      </c>
      <c r="L276">
        <f t="shared" si="104"/>
        <v>4071.2078816834828</v>
      </c>
      <c r="M276" s="1">
        <f t="shared" si="100"/>
        <v>0.73600484516116293</v>
      </c>
      <c r="N276" s="1">
        <f t="shared" si="101"/>
        <v>6.3929380850698614</v>
      </c>
      <c r="O276" s="1">
        <f t="shared" si="102"/>
        <v>6.3929380850698617E-2</v>
      </c>
      <c r="P276" s="1">
        <f t="shared" si="103"/>
        <v>438.54219807568063</v>
      </c>
    </row>
    <row r="277" spans="1:16" x14ac:dyDescent="0.2">
      <c r="I277">
        <f t="shared" si="105"/>
        <v>231.49996753645934</v>
      </c>
      <c r="J277" s="1">
        <f t="shared" si="98"/>
        <v>4851.8805460846261</v>
      </c>
      <c r="K277">
        <f t="shared" si="99"/>
        <v>0.12365261523650284</v>
      </c>
      <c r="L277">
        <f t="shared" si="104"/>
        <v>4201.8518090368025</v>
      </c>
      <c r="M277" s="1">
        <f t="shared" si="100"/>
        <v>0.73166511314020954</v>
      </c>
      <c r="N277" s="1">
        <f t="shared" si="101"/>
        <v>6.35524317273586</v>
      </c>
      <c r="O277" s="1">
        <f t="shared" si="102"/>
        <v>6.3552431727358596E-2</v>
      </c>
      <c r="P277" s="1">
        <f t="shared" si="103"/>
        <v>435.0106957196349</v>
      </c>
    </row>
    <row r="281" spans="1:16" x14ac:dyDescent="0.2">
      <c r="B281" s="26"/>
    </row>
    <row r="282" spans="1:16" x14ac:dyDescent="0.2">
      <c r="B282" s="26"/>
      <c r="I282" s="2"/>
      <c r="J282" s="1"/>
      <c r="M282" s="1"/>
      <c r="N282" s="1"/>
      <c r="O282" s="1"/>
      <c r="P282" s="1"/>
    </row>
    <row r="283" spans="1:16" x14ac:dyDescent="0.2">
      <c r="B283" s="26"/>
      <c r="J283" s="1"/>
      <c r="M283" s="1"/>
      <c r="N283" s="1"/>
      <c r="O283" s="1"/>
      <c r="P283" s="1"/>
    </row>
    <row r="284" spans="1:16" x14ac:dyDescent="0.2">
      <c r="B284" s="26"/>
      <c r="J284" s="1"/>
      <c r="M284" s="1"/>
      <c r="N284" s="1"/>
      <c r="O284" s="1"/>
      <c r="P284" s="1"/>
    </row>
    <row r="285" spans="1:16" x14ac:dyDescent="0.2">
      <c r="B285" s="26"/>
      <c r="J285" s="1"/>
      <c r="M285" s="1"/>
      <c r="N285" s="1"/>
      <c r="O285" s="1"/>
      <c r="P285" s="1"/>
    </row>
    <row r="286" spans="1:16" x14ac:dyDescent="0.2">
      <c r="B286" s="52"/>
      <c r="J286" s="1"/>
      <c r="M286" s="1"/>
      <c r="N286" s="1"/>
      <c r="O286" s="1"/>
      <c r="P286" s="1"/>
    </row>
    <row r="287" spans="1:16" x14ac:dyDescent="0.2">
      <c r="B287" s="26"/>
      <c r="J287" s="1"/>
      <c r="M287" s="1"/>
      <c r="N287" s="1"/>
      <c r="O287" s="1"/>
      <c r="P287" s="1"/>
    </row>
    <row r="288" spans="1:16" x14ac:dyDescent="0.2">
      <c r="B288" s="40"/>
      <c r="J288" s="1"/>
      <c r="M288" s="1"/>
      <c r="N288" s="1"/>
      <c r="O288" s="1"/>
      <c r="P288" s="1"/>
    </row>
    <row r="289" spans="1:16" x14ac:dyDescent="0.2">
      <c r="A289" s="45"/>
      <c r="B289" s="26"/>
      <c r="J289" s="1"/>
      <c r="M289" s="1"/>
      <c r="N289" s="1"/>
      <c r="O289" s="1"/>
      <c r="P289" s="1"/>
    </row>
    <row r="290" spans="1:16" x14ac:dyDescent="0.2">
      <c r="B290" s="26"/>
      <c r="J290" s="1"/>
      <c r="M290" s="1"/>
      <c r="N290" s="1"/>
      <c r="O290" s="1"/>
      <c r="P290" s="1"/>
    </row>
    <row r="291" spans="1:16" x14ac:dyDescent="0.2">
      <c r="B291" s="53"/>
      <c r="J291" s="1"/>
      <c r="M291" s="1"/>
      <c r="N291" s="1"/>
      <c r="O291" s="1"/>
      <c r="P291" s="1"/>
    </row>
    <row r="292" spans="1:16" x14ac:dyDescent="0.2">
      <c r="B292" s="26"/>
      <c r="J292" s="1"/>
      <c r="M292" s="1"/>
      <c r="N292" s="1"/>
      <c r="O292" s="1"/>
      <c r="P292" s="1"/>
    </row>
    <row r="293" spans="1:16" x14ac:dyDescent="0.2">
      <c r="B293" s="26"/>
      <c r="J293" s="1"/>
      <c r="M293" s="1"/>
      <c r="N293" s="1"/>
      <c r="O293" s="1"/>
      <c r="P293" s="1"/>
    </row>
    <row r="294" spans="1:16" x14ac:dyDescent="0.2">
      <c r="B294" s="26"/>
      <c r="J294" s="1"/>
      <c r="M294" s="1"/>
      <c r="N294" s="1"/>
      <c r="O294" s="1"/>
      <c r="P294" s="1"/>
    </row>
    <row r="295" spans="1:16" x14ac:dyDescent="0.2">
      <c r="B295" s="26"/>
      <c r="J295" s="1"/>
      <c r="M295" s="1"/>
      <c r="N295" s="1"/>
      <c r="O295" s="1"/>
      <c r="P295" s="1"/>
    </row>
    <row r="296" spans="1:16" x14ac:dyDescent="0.2">
      <c r="B296" s="26"/>
      <c r="J296" s="1"/>
      <c r="M296" s="1"/>
      <c r="N296" s="1"/>
      <c r="O296" s="1"/>
      <c r="P296" s="1"/>
    </row>
    <row r="297" spans="1:16" x14ac:dyDescent="0.2">
      <c r="B297" s="26"/>
      <c r="J297" s="1"/>
      <c r="M297" s="1"/>
      <c r="N297" s="1"/>
      <c r="O297" s="1"/>
      <c r="P297" s="1"/>
    </row>
    <row r="298" spans="1:16" x14ac:dyDescent="0.2">
      <c r="B298" s="26"/>
      <c r="J298" s="1"/>
      <c r="M298" s="1"/>
      <c r="N298" s="1"/>
      <c r="O298" s="1"/>
      <c r="P298" s="1"/>
    </row>
    <row r="299" spans="1:16" x14ac:dyDescent="0.2">
      <c r="B299" s="26"/>
      <c r="J299" s="1"/>
      <c r="M299" s="1"/>
      <c r="N299" s="1"/>
      <c r="O299" s="1"/>
      <c r="P299" s="1"/>
    </row>
    <row r="300" spans="1:16" x14ac:dyDescent="0.2">
      <c r="B300" s="26"/>
      <c r="J300" s="1"/>
      <c r="M300" s="1"/>
      <c r="N300" s="1"/>
      <c r="O300" s="1"/>
      <c r="P300" s="1"/>
    </row>
    <row r="301" spans="1:16" x14ac:dyDescent="0.2">
      <c r="B301" s="26"/>
      <c r="J301" s="1"/>
      <c r="M301" s="1"/>
      <c r="N301" s="1"/>
      <c r="O301" s="1"/>
      <c r="P301" s="1"/>
    </row>
    <row r="302" spans="1:16" x14ac:dyDescent="0.2">
      <c r="B302" s="26"/>
      <c r="J302" s="1"/>
      <c r="M302" s="1"/>
      <c r="N302" s="1"/>
      <c r="O302" s="1"/>
      <c r="P302" s="1"/>
    </row>
    <row r="303" spans="1:16" x14ac:dyDescent="0.2">
      <c r="B303" s="26"/>
    </row>
    <row r="304" spans="1:16" x14ac:dyDescent="0.2">
      <c r="B304" s="26"/>
    </row>
    <row r="305" spans="1:16" x14ac:dyDescent="0.2">
      <c r="B305" s="26"/>
    </row>
    <row r="306" spans="1:16" x14ac:dyDescent="0.2">
      <c r="B306" s="26"/>
    </row>
    <row r="307" spans="1:16" x14ac:dyDescent="0.2">
      <c r="B307" s="26"/>
      <c r="I307" s="2"/>
      <c r="J307" s="1"/>
      <c r="M307" s="1"/>
      <c r="N307" s="1"/>
      <c r="O307" s="1"/>
      <c r="P307" s="1"/>
    </row>
    <row r="308" spans="1:16" x14ac:dyDescent="0.2">
      <c r="B308" s="26"/>
      <c r="J308" s="1"/>
      <c r="M308" s="1"/>
      <c r="N308" s="1"/>
      <c r="O308" s="1"/>
      <c r="P308" s="1"/>
    </row>
    <row r="309" spans="1:16" x14ac:dyDescent="0.2">
      <c r="B309" s="26"/>
      <c r="J309" s="1"/>
      <c r="M309" s="1"/>
      <c r="N309" s="1"/>
      <c r="O309" s="1"/>
      <c r="P309" s="1"/>
    </row>
    <row r="310" spans="1:16" x14ac:dyDescent="0.2">
      <c r="B310" s="26"/>
      <c r="J310" s="1"/>
      <c r="M310" s="1"/>
      <c r="N310" s="1"/>
      <c r="O310" s="1"/>
      <c r="P310" s="1"/>
    </row>
    <row r="311" spans="1:16" x14ac:dyDescent="0.2">
      <c r="B311" s="52"/>
      <c r="J311" s="1"/>
      <c r="M311" s="1"/>
      <c r="N311" s="1"/>
      <c r="O311" s="1"/>
      <c r="P311" s="1"/>
    </row>
    <row r="312" spans="1:16" x14ac:dyDescent="0.2">
      <c r="B312" s="26"/>
      <c r="J312" s="1"/>
      <c r="M312" s="1"/>
      <c r="N312" s="1"/>
      <c r="O312" s="1"/>
      <c r="P312" s="1"/>
    </row>
    <row r="313" spans="1:16" x14ac:dyDescent="0.2">
      <c r="B313" s="40"/>
      <c r="J313" s="1"/>
      <c r="M313" s="1"/>
      <c r="N313" s="1"/>
      <c r="O313" s="1"/>
      <c r="P313" s="1"/>
    </row>
    <row r="314" spans="1:16" x14ac:dyDescent="0.2">
      <c r="A314" s="45"/>
      <c r="B314" s="26"/>
      <c r="J314" s="1"/>
      <c r="M314" s="1"/>
      <c r="N314" s="1"/>
      <c r="O314" s="1"/>
      <c r="P314" s="1"/>
    </row>
    <row r="315" spans="1:16" x14ac:dyDescent="0.2">
      <c r="B315" s="26"/>
      <c r="J315" s="1"/>
      <c r="M315" s="1"/>
      <c r="N315" s="1"/>
      <c r="O315" s="1"/>
      <c r="P315" s="1"/>
    </row>
    <row r="316" spans="1:16" x14ac:dyDescent="0.2">
      <c r="B316" s="53"/>
      <c r="J316" s="1"/>
      <c r="M316" s="1"/>
      <c r="N316" s="1"/>
      <c r="O316" s="1"/>
      <c r="P316" s="1"/>
    </row>
    <row r="317" spans="1:16" x14ac:dyDescent="0.2">
      <c r="B317" s="26"/>
      <c r="J317" s="1"/>
      <c r="M317" s="1"/>
      <c r="N317" s="1"/>
      <c r="O317" s="1"/>
      <c r="P317" s="1"/>
    </row>
    <row r="318" spans="1:16" x14ac:dyDescent="0.2">
      <c r="B318" s="26"/>
      <c r="J318" s="1"/>
      <c r="M318" s="1"/>
      <c r="N318" s="1"/>
      <c r="O318" s="1"/>
      <c r="P318" s="1"/>
    </row>
    <row r="319" spans="1:16" x14ac:dyDescent="0.2">
      <c r="B319" s="26"/>
      <c r="J319" s="1"/>
      <c r="M319" s="1"/>
      <c r="N319" s="1"/>
      <c r="O319" s="1"/>
      <c r="P319" s="1"/>
    </row>
    <row r="320" spans="1:16" x14ac:dyDescent="0.2">
      <c r="B320" s="26"/>
      <c r="J320" s="1"/>
      <c r="M320" s="1"/>
      <c r="N320" s="1"/>
      <c r="O320" s="1"/>
      <c r="P320" s="1"/>
    </row>
    <row r="321" spans="2:16" x14ac:dyDescent="0.2">
      <c r="B321" s="26"/>
      <c r="J321" s="1"/>
      <c r="M321" s="1"/>
      <c r="N321" s="1"/>
      <c r="O321" s="1"/>
      <c r="P321" s="1"/>
    </row>
    <row r="322" spans="2:16" x14ac:dyDescent="0.2">
      <c r="B322" s="26"/>
      <c r="J322" s="1"/>
      <c r="M322" s="1"/>
      <c r="N322" s="1"/>
      <c r="O322" s="1"/>
      <c r="P322" s="1"/>
    </row>
    <row r="323" spans="2:16" x14ac:dyDescent="0.2">
      <c r="B323" s="26"/>
      <c r="J323" s="1"/>
      <c r="M323" s="1"/>
      <c r="N323" s="1"/>
      <c r="O323" s="1"/>
      <c r="P323" s="1"/>
    </row>
    <row r="324" spans="2:16" x14ac:dyDescent="0.2">
      <c r="B324" s="26"/>
      <c r="J324" s="1"/>
      <c r="M324" s="1"/>
      <c r="N324" s="1"/>
      <c r="O324" s="1"/>
      <c r="P324" s="1"/>
    </row>
    <row r="325" spans="2:16" x14ac:dyDescent="0.2">
      <c r="B325" s="26"/>
      <c r="J325" s="1"/>
      <c r="M325" s="1"/>
      <c r="N325" s="1"/>
      <c r="O325" s="1"/>
      <c r="P325" s="1"/>
    </row>
    <row r="326" spans="2:16" x14ac:dyDescent="0.2">
      <c r="B326" s="26"/>
      <c r="J326" s="1"/>
      <c r="M326" s="1"/>
      <c r="N326" s="1"/>
      <c r="O326" s="1"/>
      <c r="P326" s="1"/>
    </row>
    <row r="327" spans="2:16" x14ac:dyDescent="0.2">
      <c r="B327" s="26"/>
      <c r="J327" s="1"/>
      <c r="M327" s="1"/>
      <c r="N327" s="1"/>
      <c r="O327" s="1"/>
      <c r="P327" s="1"/>
    </row>
    <row r="328" spans="2:16" x14ac:dyDescent="0.2">
      <c r="B328" s="26"/>
    </row>
    <row r="329" spans="2:16" x14ac:dyDescent="0.2">
      <c r="B329" s="26"/>
    </row>
    <row r="330" spans="2:16" x14ac:dyDescent="0.2">
      <c r="B330" s="26"/>
    </row>
    <row r="331" spans="2:16" x14ac:dyDescent="0.2">
      <c r="B331" s="26"/>
    </row>
    <row r="332" spans="2:16" x14ac:dyDescent="0.2">
      <c r="B332" s="26"/>
      <c r="I332" s="2"/>
      <c r="J332" s="1"/>
      <c r="M332" s="1"/>
      <c r="N332" s="1"/>
      <c r="O332" s="1"/>
      <c r="P332" s="1"/>
    </row>
    <row r="333" spans="2:16" x14ac:dyDescent="0.2">
      <c r="B333" s="26"/>
      <c r="J333" s="1"/>
      <c r="M333" s="1"/>
      <c r="N333" s="1"/>
      <c r="O333" s="1"/>
      <c r="P333" s="1"/>
    </row>
    <row r="334" spans="2:16" x14ac:dyDescent="0.2">
      <c r="B334" s="26"/>
      <c r="J334" s="1"/>
      <c r="M334" s="1"/>
      <c r="N334" s="1"/>
      <c r="O334" s="1"/>
      <c r="P334" s="1"/>
    </row>
    <row r="335" spans="2:16" x14ac:dyDescent="0.2">
      <c r="B335" s="26"/>
      <c r="J335" s="1"/>
      <c r="M335" s="1"/>
      <c r="N335" s="1"/>
      <c r="O335" s="1"/>
      <c r="P335" s="1"/>
    </row>
    <row r="336" spans="2:16" x14ac:dyDescent="0.2">
      <c r="B336" s="52"/>
      <c r="J336" s="1"/>
      <c r="M336" s="1"/>
      <c r="N336" s="1"/>
      <c r="O336" s="1"/>
      <c r="P336" s="1"/>
    </row>
    <row r="337" spans="1:16" x14ac:dyDescent="0.2">
      <c r="B337" s="26"/>
      <c r="J337" s="1"/>
      <c r="M337" s="1"/>
      <c r="N337" s="1"/>
      <c r="O337" s="1"/>
      <c r="P337" s="1"/>
    </row>
    <row r="338" spans="1:16" x14ac:dyDescent="0.2">
      <c r="B338" s="40"/>
      <c r="J338" s="1"/>
      <c r="M338" s="1"/>
      <c r="N338" s="1"/>
      <c r="O338" s="1"/>
      <c r="P338" s="1"/>
    </row>
    <row r="339" spans="1:16" x14ac:dyDescent="0.2">
      <c r="A339" s="45"/>
      <c r="B339" s="26"/>
      <c r="J339" s="1"/>
      <c r="M339" s="1"/>
      <c r="N339" s="1"/>
      <c r="O339" s="1"/>
      <c r="P339" s="1"/>
    </row>
    <row r="340" spans="1:16" x14ac:dyDescent="0.2">
      <c r="B340" s="26"/>
      <c r="J340" s="1"/>
      <c r="M340" s="1"/>
      <c r="N340" s="1"/>
      <c r="O340" s="1"/>
      <c r="P340" s="1"/>
    </row>
    <row r="341" spans="1:16" x14ac:dyDescent="0.2">
      <c r="B341" s="53"/>
      <c r="J341" s="1"/>
      <c r="M341" s="1"/>
      <c r="N341" s="1"/>
      <c r="O341" s="1"/>
      <c r="P341" s="1"/>
    </row>
    <row r="342" spans="1:16" x14ac:dyDescent="0.2">
      <c r="B342" s="26"/>
      <c r="J342" s="1"/>
      <c r="M342" s="1"/>
      <c r="N342" s="1"/>
      <c r="O342" s="1"/>
      <c r="P342" s="1"/>
    </row>
    <row r="343" spans="1:16" x14ac:dyDescent="0.2">
      <c r="B343" s="26"/>
      <c r="J343" s="1"/>
      <c r="M343" s="1"/>
      <c r="N343" s="1"/>
      <c r="O343" s="1"/>
      <c r="P343" s="1"/>
    </row>
    <row r="344" spans="1:16" x14ac:dyDescent="0.2">
      <c r="B344" s="26"/>
      <c r="J344" s="1"/>
      <c r="M344" s="1"/>
      <c r="N344" s="1"/>
      <c r="O344" s="1"/>
      <c r="P344" s="1"/>
    </row>
    <row r="345" spans="1:16" x14ac:dyDescent="0.2">
      <c r="J345" s="1"/>
      <c r="M345" s="1"/>
      <c r="N345" s="1"/>
      <c r="O345" s="1"/>
      <c r="P345" s="1"/>
    </row>
    <row r="346" spans="1:16" x14ac:dyDescent="0.2">
      <c r="J346" s="1"/>
      <c r="M346" s="1"/>
      <c r="N346" s="1"/>
      <c r="O346" s="1"/>
      <c r="P346" s="1"/>
    </row>
    <row r="347" spans="1:16" x14ac:dyDescent="0.2">
      <c r="J347" s="1"/>
      <c r="M347" s="1"/>
      <c r="N347" s="1"/>
      <c r="O347" s="1"/>
      <c r="P347" s="1"/>
    </row>
    <row r="348" spans="1:16" x14ac:dyDescent="0.2">
      <c r="J348" s="1"/>
      <c r="M348" s="1"/>
      <c r="N348" s="1"/>
      <c r="O348" s="1"/>
      <c r="P348" s="1"/>
    </row>
    <row r="349" spans="1:16" x14ac:dyDescent="0.2">
      <c r="J349" s="1"/>
      <c r="M349" s="1"/>
      <c r="N349" s="1"/>
      <c r="O349" s="1"/>
      <c r="P349" s="1"/>
    </row>
    <row r="350" spans="1:16" x14ac:dyDescent="0.2">
      <c r="J350" s="1"/>
      <c r="M350" s="1"/>
      <c r="N350" s="1"/>
      <c r="O350" s="1"/>
      <c r="P350" s="1"/>
    </row>
    <row r="351" spans="1:16" x14ac:dyDescent="0.2">
      <c r="J351" s="1"/>
      <c r="M351" s="1"/>
      <c r="N351" s="1"/>
      <c r="O351" s="1"/>
      <c r="P351" s="1"/>
    </row>
    <row r="352" spans="1:16" x14ac:dyDescent="0.2">
      <c r="J352" s="1"/>
      <c r="M352" s="1"/>
      <c r="N352" s="1"/>
      <c r="O352" s="1"/>
      <c r="P352" s="1"/>
    </row>
  </sheetData>
  <sortState ref="AC23:AF70">
    <sortCondition ref="AE23:AE70"/>
  </sortState>
  <phoneticPr fontId="1" type="noConversion"/>
  <dataValidations count="3">
    <dataValidation type="list" allowBlank="1" showInputMessage="1" showErrorMessage="1" sqref="I5 B337 B312 B287 AA5 Y5 W5 U5 S5 Q5 O5 K5 M5">
      <formula1>$AC$85:$AC$115</formula1>
    </dataValidation>
    <dataValidation type="list" allowBlank="1" showInputMessage="1" showErrorMessage="1" sqref="B13">
      <formula1>$D$13:$D$14</formula1>
    </dataValidation>
    <dataValidation type="list" allowBlank="1" showInputMessage="1" showErrorMessage="1" sqref="I4 K4 M4 AA4 Q4 S4 U4 W4 Y4 O4 B281 B306 B331">
      <formula1>$AE$30:$AE$77</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34"/>
  <sheetViews>
    <sheetView topLeftCell="A19" workbookViewId="0">
      <selection activeCell="C59" sqref="C59"/>
    </sheetView>
  </sheetViews>
  <sheetFormatPr defaultRowHeight="12.75" x14ac:dyDescent="0.2"/>
  <cols>
    <col min="3" max="3" width="14" customWidth="1"/>
    <col min="5" max="5" width="12.42578125" bestFit="1" customWidth="1"/>
    <col min="17" max="17" width="11.42578125" style="2" customWidth="1"/>
    <col min="21" max="21" width="12.42578125" bestFit="1" customWidth="1"/>
    <col min="22" max="22" width="9.5703125" bestFit="1" customWidth="1"/>
    <col min="25" max="25" width="13" customWidth="1"/>
  </cols>
  <sheetData>
    <row r="1" spans="2:17" x14ac:dyDescent="0.2">
      <c r="B1" s="25" t="s">
        <v>323</v>
      </c>
      <c r="C1" s="25"/>
    </row>
    <row r="2" spans="2:17" x14ac:dyDescent="0.2">
      <c r="Q2"/>
    </row>
    <row r="3" spans="2:17" x14ac:dyDescent="0.2">
      <c r="B3" t="s">
        <v>0</v>
      </c>
      <c r="C3" s="25">
        <v>0.9</v>
      </c>
      <c r="D3" t="s">
        <v>2</v>
      </c>
      <c r="E3" s="26">
        <f>C3*25.4</f>
        <v>22.86</v>
      </c>
      <c r="F3" s="26" t="s">
        <v>303</v>
      </c>
      <c r="G3" s="26">
        <f>E3/1000</f>
        <v>2.2859999999999998E-2</v>
      </c>
      <c r="H3" t="s">
        <v>304</v>
      </c>
    </row>
    <row r="4" spans="2:17" x14ac:dyDescent="0.2">
      <c r="B4" t="s">
        <v>1</v>
      </c>
      <c r="C4" s="25">
        <v>0.45</v>
      </c>
      <c r="D4" t="s">
        <v>2</v>
      </c>
      <c r="E4" s="26">
        <f>C4*25.4</f>
        <v>11.43</v>
      </c>
      <c r="F4" s="26" t="s">
        <v>303</v>
      </c>
      <c r="G4" s="26">
        <f>E4/1000</f>
        <v>1.1429999999999999E-2</v>
      </c>
      <c r="H4" t="s">
        <v>304</v>
      </c>
    </row>
    <row r="5" spans="2:17" x14ac:dyDescent="0.2">
      <c r="B5" t="s">
        <v>9</v>
      </c>
      <c r="C5">
        <f>PI()/G3</f>
        <v>137.42750015703382</v>
      </c>
      <c r="D5" t="s">
        <v>305</v>
      </c>
    </row>
    <row r="6" spans="2:17" x14ac:dyDescent="0.2">
      <c r="B6" t="s">
        <v>306</v>
      </c>
      <c r="C6">
        <f>2*PI()/C5</f>
        <v>4.5719999999999997E-2</v>
      </c>
      <c r="D6" t="s">
        <v>304</v>
      </c>
    </row>
    <row r="7" spans="2:17" x14ac:dyDescent="0.2">
      <c r="B7" t="s">
        <v>8</v>
      </c>
      <c r="C7" s="2">
        <f>C21/C6/1000000000</f>
        <v>6.5571403753218425</v>
      </c>
      <c r="D7" t="s">
        <v>35</v>
      </c>
    </row>
    <row r="8" spans="2:17" x14ac:dyDescent="0.2">
      <c r="B8" t="s">
        <v>15</v>
      </c>
      <c r="C8">
        <f>(C22/C23/C18)^0.5</f>
        <v>376.73031341114654</v>
      </c>
      <c r="D8" t="s">
        <v>307</v>
      </c>
    </row>
    <row r="10" spans="2:17" x14ac:dyDescent="0.2">
      <c r="B10" s="44" t="s">
        <v>433</v>
      </c>
      <c r="C10" s="46"/>
      <c r="D10" s="44"/>
    </row>
    <row r="11" spans="2:17" x14ac:dyDescent="0.2">
      <c r="B11" t="s">
        <v>419</v>
      </c>
      <c r="C11" s="41" t="s">
        <v>378</v>
      </c>
    </row>
    <row r="12" spans="2:17" x14ac:dyDescent="0.2">
      <c r="B12" t="s">
        <v>12</v>
      </c>
      <c r="C12" s="1">
        <f>LOOKUP(C11,Y36:Y66,AD36:AD66)</f>
        <v>11485012.059262661</v>
      </c>
      <c r="D12" t="s">
        <v>310</v>
      </c>
      <c r="E12" t="s">
        <v>326</v>
      </c>
    </row>
    <row r="13" spans="2:17" x14ac:dyDescent="0.2">
      <c r="B13" s="45" t="s">
        <v>434</v>
      </c>
      <c r="C13" s="47">
        <f>LOOKUP(C11,Y36:Y66,AE36:AE66)</f>
        <v>150</v>
      </c>
      <c r="E13" s="45" t="s">
        <v>435</v>
      </c>
    </row>
    <row r="15" spans="2:17" x14ac:dyDescent="0.2">
      <c r="B15" s="44" t="s">
        <v>432</v>
      </c>
      <c r="C15" s="44"/>
    </row>
    <row r="16" spans="2:17" x14ac:dyDescent="0.2">
      <c r="B16" t="s">
        <v>420</v>
      </c>
    </row>
    <row r="17" spans="2:27" x14ac:dyDescent="0.2">
      <c r="B17" t="s">
        <v>301</v>
      </c>
      <c r="C17" s="25">
        <v>0</v>
      </c>
      <c r="E17" t="s">
        <v>467</v>
      </c>
    </row>
    <row r="18" spans="2:27" x14ac:dyDescent="0.2">
      <c r="B18" t="s">
        <v>424</v>
      </c>
      <c r="C18" s="25">
        <v>1</v>
      </c>
      <c r="E18" t="s">
        <v>425</v>
      </c>
    </row>
    <row r="19" spans="2:27" x14ac:dyDescent="0.2">
      <c r="C19" s="26"/>
    </row>
    <row r="20" spans="2:27" x14ac:dyDescent="0.2">
      <c r="B20" t="s">
        <v>300</v>
      </c>
      <c r="C20" s="42">
        <f>1/(C22*C23)^0.5</f>
        <v>299792457.95971459</v>
      </c>
      <c r="D20" t="s">
        <v>13</v>
      </c>
      <c r="E20" t="s">
        <v>428</v>
      </c>
    </row>
    <row r="21" spans="2:27" x14ac:dyDescent="0.2">
      <c r="B21" t="s">
        <v>421</v>
      </c>
      <c r="C21" s="24">
        <f>1/(C18*C22*C23)^0.5</f>
        <v>299792457.95971459</v>
      </c>
      <c r="D21" t="s">
        <v>13</v>
      </c>
      <c r="E21" t="s">
        <v>429</v>
      </c>
    </row>
    <row r="22" spans="2:27" x14ac:dyDescent="0.2">
      <c r="B22" t="s">
        <v>27</v>
      </c>
      <c r="C22">
        <f>4*PI()*0.0000001</f>
        <v>1.2566370614359173E-6</v>
      </c>
      <c r="D22" t="s">
        <v>431</v>
      </c>
    </row>
    <row r="23" spans="2:27" x14ac:dyDescent="0.2">
      <c r="B23" t="s">
        <v>28</v>
      </c>
      <c r="C23" s="1">
        <v>8.8541878200000004E-12</v>
      </c>
      <c r="D23" t="s">
        <v>430</v>
      </c>
    </row>
    <row r="24" spans="2:27" x14ac:dyDescent="0.2">
      <c r="B24" t="s">
        <v>422</v>
      </c>
      <c r="C24" s="1">
        <f>C23*C18</f>
        <v>8.8541878200000004E-12</v>
      </c>
      <c r="D24" t="s">
        <v>430</v>
      </c>
      <c r="E24" t="s">
        <v>426</v>
      </c>
    </row>
    <row r="25" spans="2:27" x14ac:dyDescent="0.2">
      <c r="B25" t="s">
        <v>423</v>
      </c>
      <c r="C25" s="1">
        <f>C24*C17</f>
        <v>0</v>
      </c>
      <c r="E25" t="s">
        <v>427</v>
      </c>
    </row>
    <row r="27" spans="2:27" x14ac:dyDescent="0.2">
      <c r="B27" t="s">
        <v>316</v>
      </c>
      <c r="C27" s="26"/>
    </row>
    <row r="28" spans="2:27" x14ac:dyDescent="0.2">
      <c r="C28" t="s">
        <v>35</v>
      </c>
    </row>
    <row r="29" spans="2:27" x14ac:dyDescent="0.2">
      <c r="B29" t="s">
        <v>318</v>
      </c>
      <c r="C29" s="25">
        <v>39.369999999999997</v>
      </c>
      <c r="D29" t="s">
        <v>2</v>
      </c>
      <c r="E29">
        <f>C29*0.0254</f>
        <v>0.99999799999999994</v>
      </c>
      <c r="F29" t="s">
        <v>304</v>
      </c>
    </row>
    <row r="32" spans="2:27" x14ac:dyDescent="0.2">
      <c r="B32" t="s">
        <v>4</v>
      </c>
      <c r="D32" t="s">
        <v>6</v>
      </c>
      <c r="E32" t="s">
        <v>7</v>
      </c>
      <c r="F32" t="s">
        <v>10</v>
      </c>
      <c r="G32" t="s">
        <v>312</v>
      </c>
      <c r="H32" t="s">
        <v>312</v>
      </c>
      <c r="I32" t="s">
        <v>311</v>
      </c>
      <c r="J32" t="s">
        <v>311</v>
      </c>
      <c r="K32" t="s">
        <v>313</v>
      </c>
      <c r="M32" t="s">
        <v>319</v>
      </c>
      <c r="N32" t="s">
        <v>317</v>
      </c>
      <c r="O32" t="s">
        <v>320</v>
      </c>
      <c r="P32" t="s">
        <v>322</v>
      </c>
      <c r="T32" t="s">
        <v>18</v>
      </c>
      <c r="Y32" s="28" t="s">
        <v>332</v>
      </c>
      <c r="Z32" s="28"/>
      <c r="AA32" s="28"/>
    </row>
    <row r="33" spans="2:31" x14ac:dyDescent="0.2">
      <c r="B33" t="s">
        <v>5</v>
      </c>
      <c r="D33" t="s">
        <v>11</v>
      </c>
      <c r="E33" t="s">
        <v>308</v>
      </c>
      <c r="F33" t="s">
        <v>309</v>
      </c>
      <c r="G33" t="s">
        <v>20</v>
      </c>
      <c r="H33" t="s">
        <v>16</v>
      </c>
      <c r="I33" t="s">
        <v>20</v>
      </c>
      <c r="J33" s="2" t="s">
        <v>16</v>
      </c>
      <c r="K33" t="s">
        <v>16</v>
      </c>
      <c r="L33" s="2"/>
      <c r="M33" s="2" t="s">
        <v>13</v>
      </c>
      <c r="N33" s="2" t="s">
        <v>13</v>
      </c>
      <c r="O33" s="2" t="s">
        <v>321</v>
      </c>
      <c r="P33" s="2" t="s">
        <v>304</v>
      </c>
      <c r="T33" t="s">
        <v>307</v>
      </c>
      <c r="Y33" t="s">
        <v>333</v>
      </c>
    </row>
    <row r="34" spans="2:31" x14ac:dyDescent="0.2">
      <c r="B34" t="s">
        <v>325</v>
      </c>
      <c r="J34" s="2"/>
      <c r="L34" s="2"/>
      <c r="M34" s="2"/>
      <c r="N34" s="2"/>
      <c r="O34" s="2"/>
      <c r="P34" s="2"/>
      <c r="Y34" s="29"/>
      <c r="Z34" s="30"/>
      <c r="AA34" s="30" t="s">
        <v>334</v>
      </c>
      <c r="AB34" s="30"/>
      <c r="AC34" s="30"/>
      <c r="AD34" s="30" t="s">
        <v>335</v>
      </c>
      <c r="AE34" s="30" t="s">
        <v>336</v>
      </c>
    </row>
    <row r="35" spans="2:31" x14ac:dyDescent="0.2">
      <c r="B35" s="25">
        <v>10</v>
      </c>
      <c r="C35" s="1"/>
      <c r="D35" s="1">
        <f>2*PI()*B35*1000000000/C$21</f>
        <v>209.58450222333164</v>
      </c>
      <c r="E35">
        <f>(2*PI()*B35*1000000000*C$22*C$13/(2*C$12))^0.5</f>
        <v>0.71805840509091623</v>
      </c>
      <c r="F35">
        <f t="shared" ref="F35:F56" si="0">(D35^2-C$5^2)^0.5</f>
        <v>158.23825635032185</v>
      </c>
      <c r="G35" s="1">
        <f>E35/(G$3^3*G$4*F35*D35*C$8)*(2*G$4*PI()^2+G$3^3*D35^2)</f>
        <v>0.31583104103627724</v>
      </c>
      <c r="H35" s="43">
        <f t="shared" ref="H35:H56" si="1">G35*8.686</f>
        <v>2.7433084224411042</v>
      </c>
      <c r="I35" s="1">
        <f>D35^2*C$17/2/F35</f>
        <v>0</v>
      </c>
      <c r="J35" s="1">
        <f t="shared" ref="J35:J56" si="2">I35*8.686</f>
        <v>0</v>
      </c>
      <c r="K35" s="1">
        <f>J35+H35</f>
        <v>2.7433084224411042</v>
      </c>
      <c r="L35" s="1"/>
      <c r="M35" s="1">
        <f>C$21*F35/D35</f>
        <v>226346105.32400984</v>
      </c>
      <c r="N35" s="1">
        <f>D35*C$21/F35</f>
        <v>397071192.01751786</v>
      </c>
      <c r="O35" s="1">
        <f>1000000000*E$29/M35</f>
        <v>4.4180040057173651</v>
      </c>
      <c r="P35" s="1">
        <f>2*PI()/F35</f>
        <v>3.9707119201751788E-2</v>
      </c>
      <c r="T35" s="1">
        <f>D35*C$8/F35</f>
        <v>498.97437591775054</v>
      </c>
      <c r="Y35" s="29" t="s">
        <v>337</v>
      </c>
      <c r="Z35" s="30" t="s">
        <v>338</v>
      </c>
      <c r="AA35" s="30" t="s">
        <v>339</v>
      </c>
      <c r="AB35" s="30" t="s">
        <v>340</v>
      </c>
      <c r="AC35" s="30" t="s">
        <v>341</v>
      </c>
      <c r="AD35" s="30" t="s">
        <v>342</v>
      </c>
      <c r="AE35" s="30"/>
    </row>
    <row r="36" spans="2:31" x14ac:dyDescent="0.2">
      <c r="C36" s="1"/>
      <c r="D36" s="1"/>
      <c r="G36" s="1"/>
      <c r="H36" s="1"/>
      <c r="I36" s="1"/>
      <c r="J36" s="1"/>
      <c r="K36" s="1"/>
      <c r="L36" s="1"/>
      <c r="M36" s="1"/>
      <c r="N36" s="1"/>
      <c r="O36" s="1"/>
      <c r="P36" s="1"/>
      <c r="T36" s="1"/>
      <c r="Y36" s="31" t="s">
        <v>343</v>
      </c>
      <c r="Z36" s="32" t="s">
        <v>344</v>
      </c>
      <c r="AA36" s="33">
        <v>195</v>
      </c>
      <c r="AB36" s="34">
        <f t="shared" ref="AB36:AB66" si="3">AA36/1000000</f>
        <v>1.95E-4</v>
      </c>
      <c r="AC36" s="34">
        <f t="shared" ref="AC36:AC66" si="4">AB36/100</f>
        <v>1.95E-6</v>
      </c>
      <c r="AD36" s="34">
        <f t="shared" ref="AD36:AD66" si="5">1/AC36</f>
        <v>512820.51282051281</v>
      </c>
      <c r="AE36" s="35">
        <v>1</v>
      </c>
    </row>
    <row r="37" spans="2:31" x14ac:dyDescent="0.2">
      <c r="B37" t="s">
        <v>324</v>
      </c>
      <c r="C37" s="1"/>
      <c r="D37" s="1"/>
      <c r="G37" s="1"/>
      <c r="H37" s="1"/>
      <c r="I37" s="1"/>
      <c r="J37" s="1"/>
      <c r="K37" s="1"/>
      <c r="L37" s="1"/>
      <c r="M37" s="1"/>
      <c r="N37" s="1"/>
      <c r="O37" s="1"/>
      <c r="P37" s="1"/>
      <c r="T37" s="1"/>
      <c r="Y37" s="31" t="s">
        <v>345</v>
      </c>
      <c r="Z37" s="32"/>
      <c r="AA37" s="33">
        <v>1</v>
      </c>
      <c r="AB37" s="34">
        <f t="shared" si="3"/>
        <v>9.9999999999999995E-7</v>
      </c>
      <c r="AC37" s="34">
        <f t="shared" si="4"/>
        <v>1E-8</v>
      </c>
      <c r="AD37" s="34">
        <f t="shared" si="5"/>
        <v>100000000</v>
      </c>
      <c r="AE37" s="35">
        <v>1</v>
      </c>
    </row>
    <row r="38" spans="2:31" x14ac:dyDescent="0.2">
      <c r="B38" s="2">
        <f>C$7*1.001</f>
        <v>6.5636975156971635</v>
      </c>
      <c r="D38" s="1">
        <f>2*PI()*B38*1000000000/C$21</f>
        <v>137.56492765719088</v>
      </c>
      <c r="E38">
        <f>(2*PI()*B38*1000000000*C$22*C$13/(2*C$12))^0.5</f>
        <v>0.58174686212156479</v>
      </c>
      <c r="F38">
        <f t="shared" si="0"/>
        <v>6.1474809407291353</v>
      </c>
      <c r="G38" s="1">
        <f t="shared" ref="G38:G56" si="6">E38/(G$3^3*G$4*F38*D38*C$8)*(2*G$4*PI()^2+G$3^3*D38^2)</f>
        <v>6.0403752640675323</v>
      </c>
      <c r="H38" s="1">
        <f t="shared" si="1"/>
        <v>52.466699543690588</v>
      </c>
      <c r="I38" s="1">
        <f t="shared" ref="I38:I56" si="7">D38^2*C$17/2/F38</f>
        <v>0</v>
      </c>
      <c r="J38" s="1">
        <f t="shared" si="2"/>
        <v>0</v>
      </c>
      <c r="K38" s="1">
        <f t="shared" ref="K38:K56" si="8">J38+H38</f>
        <v>52.466699543690588</v>
      </c>
      <c r="L38" s="1"/>
      <c r="M38" s="1">
        <f t="shared" ref="M38:M56" si="9">C$21*F38/D38</f>
        <v>13397080.584917163</v>
      </c>
      <c r="N38" s="1">
        <f t="shared" ref="N38:N56" si="10">D38*C$21/F38</f>
        <v>6708589776.6944695</v>
      </c>
      <c r="O38" s="1">
        <f t="shared" ref="O38:O56" si="11">1000000000*E$29/M38</f>
        <v>74.642978644603204</v>
      </c>
      <c r="P38" s="1">
        <f t="shared" ref="P38:P56" si="12">2*PI()/F38</f>
        <v>1.0220747925465477</v>
      </c>
      <c r="T38" s="1">
        <f t="shared" ref="T38:T56" si="13">D38*C$8/F38</f>
        <v>8430.2625433643752</v>
      </c>
      <c r="Y38" s="31" t="s">
        <v>346</v>
      </c>
      <c r="Z38" s="32"/>
      <c r="AA38" s="33">
        <v>1</v>
      </c>
      <c r="AB38" s="34">
        <f t="shared" si="3"/>
        <v>9.9999999999999995E-7</v>
      </c>
      <c r="AC38" s="34">
        <f t="shared" si="4"/>
        <v>1E-8</v>
      </c>
      <c r="AD38" s="34">
        <f t="shared" si="5"/>
        <v>100000000</v>
      </c>
      <c r="AE38" s="35">
        <v>1</v>
      </c>
    </row>
    <row r="39" spans="2:31" x14ac:dyDescent="0.2">
      <c r="B39">
        <f t="shared" ref="B39:B49" si="14">B38*1.01</f>
        <v>6.6293344908541352</v>
      </c>
      <c r="D39" s="1">
        <f t="shared" ref="D39:D56" si="15">2*PI()*B39*1000000000/C$21</f>
        <v>138.94057693376277</v>
      </c>
      <c r="E39">
        <f t="shared" ref="E39:E56" si="16">(2*PI()*B39*1000000000*C$22*C$13/(2*C$12))^0.5</f>
        <v>0.58464836072990889</v>
      </c>
      <c r="F39">
        <f t="shared" si="0"/>
        <v>20.449110476383073</v>
      </c>
      <c r="G39" s="1">
        <f t="shared" si="6"/>
        <v>1.825043394715953</v>
      </c>
      <c r="H39" s="1">
        <f t="shared" si="1"/>
        <v>15.852326926502768</v>
      </c>
      <c r="I39" s="1">
        <f t="shared" si="7"/>
        <v>0</v>
      </c>
      <c r="J39" s="1">
        <f t="shared" si="2"/>
        <v>0</v>
      </c>
      <c r="K39" s="1">
        <f t="shared" si="8"/>
        <v>15.852326926502768</v>
      </c>
      <c r="L39" s="1"/>
      <c r="M39" s="1">
        <f t="shared" si="9"/>
        <v>44123100.883100718</v>
      </c>
      <c r="N39" s="1">
        <f t="shared" si="10"/>
        <v>2036926599.6885056</v>
      </c>
      <c r="O39" s="1">
        <f t="shared" si="11"/>
        <v>22.663819631566337</v>
      </c>
      <c r="P39" s="1">
        <f t="shared" si="12"/>
        <v>0.3072595903101073</v>
      </c>
      <c r="T39" s="1">
        <f t="shared" si="13"/>
        <v>2559.6774565932187</v>
      </c>
      <c r="Y39" s="29" t="s">
        <v>347</v>
      </c>
      <c r="Z39" s="36" t="s">
        <v>348</v>
      </c>
      <c r="AA39" s="37" t="s">
        <v>349</v>
      </c>
      <c r="AB39" s="34">
        <f t="shared" si="3"/>
        <v>2.65E-6</v>
      </c>
      <c r="AC39" s="34">
        <f t="shared" si="4"/>
        <v>2.6499999999999999E-8</v>
      </c>
      <c r="AD39" s="34">
        <f t="shared" si="5"/>
        <v>37735849.056603774</v>
      </c>
      <c r="AE39" s="35">
        <v>1</v>
      </c>
    </row>
    <row r="40" spans="2:31" x14ac:dyDescent="0.2">
      <c r="B40">
        <f t="shared" si="14"/>
        <v>6.6956278357626768</v>
      </c>
      <c r="D40" s="1">
        <f t="shared" si="15"/>
        <v>140.3299827031004</v>
      </c>
      <c r="E40">
        <f t="shared" si="16"/>
        <v>0.58756433074278036</v>
      </c>
      <c r="F40">
        <f t="shared" si="0"/>
        <v>28.393419062186307</v>
      </c>
      <c r="G40" s="1">
        <f t="shared" si="6"/>
        <v>1.3211721873907909</v>
      </c>
      <c r="H40" s="1">
        <f t="shared" si="1"/>
        <v>11.475701619676409</v>
      </c>
      <c r="I40" s="1">
        <f t="shared" si="7"/>
        <v>0</v>
      </c>
      <c r="J40" s="1">
        <f t="shared" si="2"/>
        <v>0</v>
      </c>
      <c r="K40" s="1">
        <f t="shared" si="8"/>
        <v>11.475701619676409</v>
      </c>
      <c r="L40" s="1"/>
      <c r="M40" s="1">
        <f t="shared" si="9"/>
        <v>60657977.194669634</v>
      </c>
      <c r="N40" s="1">
        <f t="shared" si="10"/>
        <v>1481676805.0324159</v>
      </c>
      <c r="O40" s="1">
        <f t="shared" si="11"/>
        <v>16.485844834401693</v>
      </c>
      <c r="P40" s="1">
        <f t="shared" si="12"/>
        <v>0.22129019733123251</v>
      </c>
      <c r="T40" s="1">
        <f t="shared" si="13"/>
        <v>1861.9299862736937</v>
      </c>
      <c r="Y40" s="29" t="s">
        <v>350</v>
      </c>
      <c r="Z40" s="36"/>
      <c r="AA40" s="37"/>
      <c r="AB40" s="34"/>
      <c r="AC40" s="34"/>
      <c r="AD40" s="34">
        <v>15000000</v>
      </c>
      <c r="AE40" s="35"/>
    </row>
    <row r="41" spans="2:31" x14ac:dyDescent="0.2">
      <c r="B41">
        <f t="shared" si="14"/>
        <v>6.7625841141203038</v>
      </c>
      <c r="D41" s="1">
        <f t="shared" si="15"/>
        <v>141.73328253013139</v>
      </c>
      <c r="E41">
        <f t="shared" si="16"/>
        <v>0.590494844337208</v>
      </c>
      <c r="F41">
        <f t="shared" si="0"/>
        <v>34.669952081803018</v>
      </c>
      <c r="G41" s="1">
        <f t="shared" si="6"/>
        <v>1.0876679999901022</v>
      </c>
      <c r="H41" s="1">
        <f t="shared" si="1"/>
        <v>9.4474842479140282</v>
      </c>
      <c r="I41" s="1">
        <f t="shared" si="7"/>
        <v>0</v>
      </c>
      <c r="J41" s="1">
        <f t="shared" si="2"/>
        <v>0</v>
      </c>
      <c r="K41" s="1">
        <f t="shared" si="8"/>
        <v>9.4474842479140282</v>
      </c>
      <c r="L41" s="1"/>
      <c r="M41" s="1">
        <f t="shared" si="9"/>
        <v>73333446.925139919</v>
      </c>
      <c r="N41" s="1">
        <f t="shared" si="10"/>
        <v>1225573345.0150485</v>
      </c>
      <c r="O41" s="1">
        <f t="shared" si="11"/>
        <v>13.636315241267953</v>
      </c>
      <c r="P41" s="1">
        <f t="shared" si="12"/>
        <v>0.18122855469642829</v>
      </c>
      <c r="T41" s="1">
        <f t="shared" si="13"/>
        <v>1540.1008868538981</v>
      </c>
      <c r="Y41" s="29" t="s">
        <v>351</v>
      </c>
      <c r="Z41" s="36"/>
      <c r="AA41" s="37"/>
      <c r="AB41" s="34"/>
      <c r="AC41" s="34"/>
      <c r="AD41" s="34">
        <v>10000000</v>
      </c>
      <c r="AE41" s="35"/>
    </row>
    <row r="42" spans="2:31" x14ac:dyDescent="0.2">
      <c r="B42">
        <f t="shared" si="14"/>
        <v>6.8302099552615072</v>
      </c>
      <c r="D42" s="1">
        <f t="shared" si="15"/>
        <v>143.15061535543273</v>
      </c>
      <c r="E42">
        <f t="shared" si="16"/>
        <v>0.59343997405020821</v>
      </c>
      <c r="F42">
        <f t="shared" si="0"/>
        <v>40.072195812402398</v>
      </c>
      <c r="G42" s="1">
        <f t="shared" si="6"/>
        <v>0.94606698575240511</v>
      </c>
      <c r="H42" s="1">
        <f t="shared" si="1"/>
        <v>8.2175378382453914</v>
      </c>
      <c r="I42" s="1">
        <f t="shared" si="7"/>
        <v>0</v>
      </c>
      <c r="J42" s="1">
        <f t="shared" si="2"/>
        <v>0</v>
      </c>
      <c r="K42" s="1">
        <f t="shared" si="8"/>
        <v>8.2175378382453914</v>
      </c>
      <c r="L42" s="1"/>
      <c r="M42" s="1">
        <f t="shared" si="9"/>
        <v>83920995.020627961</v>
      </c>
      <c r="N42" s="1">
        <f t="shared" si="10"/>
        <v>1070953911.2046475</v>
      </c>
      <c r="O42" s="1">
        <f t="shared" si="11"/>
        <v>11.915945464590814</v>
      </c>
      <c r="P42" s="1">
        <f t="shared" si="12"/>
        <v>0.15679663117524825</v>
      </c>
      <c r="T42" s="1">
        <f t="shared" si="13"/>
        <v>1345.8003759095104</v>
      </c>
      <c r="Y42" s="38" t="s">
        <v>352</v>
      </c>
      <c r="Z42" s="36" t="s">
        <v>144</v>
      </c>
      <c r="AA42" s="37" t="s">
        <v>353</v>
      </c>
      <c r="AB42" s="34">
        <f t="shared" si="3"/>
        <v>3.0000000000000001E-3</v>
      </c>
      <c r="AC42" s="34">
        <f t="shared" si="4"/>
        <v>3.0000000000000001E-5</v>
      </c>
      <c r="AD42" s="34">
        <f t="shared" si="5"/>
        <v>33333.333333333336</v>
      </c>
      <c r="AE42" s="35">
        <v>1</v>
      </c>
    </row>
    <row r="43" spans="2:31" x14ac:dyDescent="0.2">
      <c r="B43">
        <f t="shared" si="14"/>
        <v>6.8985120548141223</v>
      </c>
      <c r="D43" s="1">
        <f t="shared" si="15"/>
        <v>144.58212150898706</v>
      </c>
      <c r="E43">
        <f t="shared" si="16"/>
        <v>0.59639979278058008</v>
      </c>
      <c r="F43">
        <f t="shared" si="0"/>
        <v>44.918504657078323</v>
      </c>
      <c r="G43" s="1">
        <f t="shared" si="6"/>
        <v>0.84859037314549812</v>
      </c>
      <c r="H43" s="1">
        <f t="shared" si="1"/>
        <v>7.3708559811417969</v>
      </c>
      <c r="I43" s="1">
        <f t="shared" si="7"/>
        <v>0</v>
      </c>
      <c r="J43" s="1">
        <f t="shared" si="2"/>
        <v>0</v>
      </c>
      <c r="K43" s="1">
        <f t="shared" si="8"/>
        <v>7.3708559811417969</v>
      </c>
      <c r="L43" s="1"/>
      <c r="M43" s="1">
        <f t="shared" si="9"/>
        <v>93138963.368879274</v>
      </c>
      <c r="N43" s="1">
        <f t="shared" si="10"/>
        <v>964961543.46890175</v>
      </c>
      <c r="O43" s="1">
        <f t="shared" si="11"/>
        <v>10.736623683897813</v>
      </c>
      <c r="P43" s="1">
        <f t="shared" si="12"/>
        <v>0.13987966329572535</v>
      </c>
      <c r="T43" s="1">
        <f t="shared" si="13"/>
        <v>1212.606438383428</v>
      </c>
      <c r="Y43" s="29" t="s">
        <v>354</v>
      </c>
      <c r="Z43" s="36" t="s">
        <v>355</v>
      </c>
      <c r="AA43" s="37" t="s">
        <v>356</v>
      </c>
      <c r="AB43" s="34">
        <f t="shared" si="3"/>
        <v>1.8E-5</v>
      </c>
      <c r="AC43" s="34">
        <f t="shared" si="4"/>
        <v>1.8E-7</v>
      </c>
      <c r="AD43" s="34">
        <f t="shared" si="5"/>
        <v>5555555.555555556</v>
      </c>
      <c r="AE43" s="35">
        <v>1</v>
      </c>
    </row>
    <row r="44" spans="2:31" x14ac:dyDescent="0.2">
      <c r="B44">
        <f t="shared" si="14"/>
        <v>6.9674971753622632</v>
      </c>
      <c r="D44" s="1">
        <f t="shared" si="15"/>
        <v>146.02794272407692</v>
      </c>
      <c r="E44">
        <f t="shared" si="16"/>
        <v>0.59937437379071024</v>
      </c>
      <c r="F44">
        <f t="shared" si="0"/>
        <v>49.374510193163012</v>
      </c>
      <c r="G44" s="1">
        <f t="shared" si="6"/>
        <v>0.77628615487414954</v>
      </c>
      <c r="H44" s="1">
        <f t="shared" si="1"/>
        <v>6.7428215412368626</v>
      </c>
      <c r="I44" s="1">
        <f t="shared" si="7"/>
        <v>0</v>
      </c>
      <c r="J44" s="1">
        <f t="shared" si="2"/>
        <v>0</v>
      </c>
      <c r="K44" s="1">
        <f t="shared" si="8"/>
        <v>6.7428215412368626</v>
      </c>
      <c r="L44" s="1"/>
      <c r="M44" s="1">
        <f t="shared" si="9"/>
        <v>101364886.0296158</v>
      </c>
      <c r="N44" s="1">
        <f t="shared" si="10"/>
        <v>886653370.51006281</v>
      </c>
      <c r="O44" s="1">
        <f t="shared" si="11"/>
        <v>9.8653294959344233</v>
      </c>
      <c r="P44" s="1">
        <f t="shared" si="12"/>
        <v>0.12725564836184708</v>
      </c>
      <c r="T44" s="1">
        <f t="shared" si="13"/>
        <v>1114.2014860300171</v>
      </c>
      <c r="Y44" s="29" t="s">
        <v>357</v>
      </c>
      <c r="Z44" s="36" t="s">
        <v>358</v>
      </c>
      <c r="AA44" s="37" t="s">
        <v>359</v>
      </c>
      <c r="AB44" s="34">
        <f t="shared" si="3"/>
        <v>1.6730000000000001E-6</v>
      </c>
      <c r="AC44" s="34">
        <f t="shared" si="4"/>
        <v>1.6730000000000002E-8</v>
      </c>
      <c r="AD44" s="34">
        <f t="shared" si="5"/>
        <v>59772863.120143451</v>
      </c>
      <c r="AE44" s="35">
        <v>1</v>
      </c>
    </row>
    <row r="45" spans="2:31" x14ac:dyDescent="0.2">
      <c r="B45">
        <f t="shared" si="14"/>
        <v>7.0371721471158857</v>
      </c>
      <c r="D45" s="1">
        <f t="shared" si="15"/>
        <v>147.48822215131767</v>
      </c>
      <c r="E45">
        <f t="shared" si="16"/>
        <v>0.60236379070838586</v>
      </c>
      <c r="F45">
        <f t="shared" si="0"/>
        <v>53.539311481797178</v>
      </c>
      <c r="G45" s="1">
        <f t="shared" si="6"/>
        <v>0.71993941301189535</v>
      </c>
      <c r="H45" s="1">
        <f t="shared" si="1"/>
        <v>6.2533937414213225</v>
      </c>
      <c r="I45" s="1">
        <f t="shared" si="7"/>
        <v>0</v>
      </c>
      <c r="J45" s="1">
        <f t="shared" si="2"/>
        <v>0</v>
      </c>
      <c r="K45" s="1">
        <f t="shared" si="8"/>
        <v>6.2533937414213225</v>
      </c>
      <c r="L45" s="1"/>
      <c r="M45" s="1">
        <f t="shared" si="9"/>
        <v>108826871.41032398</v>
      </c>
      <c r="N45" s="1">
        <f t="shared" si="10"/>
        <v>825857774.69112384</v>
      </c>
      <c r="O45" s="1">
        <f t="shared" si="11"/>
        <v>9.188888617679531</v>
      </c>
      <c r="P45" s="1">
        <f t="shared" si="12"/>
        <v>0.11735648317621353</v>
      </c>
      <c r="T45" s="1">
        <f t="shared" si="13"/>
        <v>1037.8034871518596</v>
      </c>
      <c r="Y45" s="29" t="s">
        <v>360</v>
      </c>
      <c r="Z45" s="36" t="s">
        <v>361</v>
      </c>
      <c r="AA45" s="37" t="s">
        <v>362</v>
      </c>
      <c r="AB45" s="34">
        <f t="shared" si="3"/>
        <v>2.4399999999999999E-6</v>
      </c>
      <c r="AC45" s="34">
        <f t="shared" si="4"/>
        <v>2.44E-8</v>
      </c>
      <c r="AD45" s="34">
        <f t="shared" si="5"/>
        <v>40983606.557377048</v>
      </c>
      <c r="AE45" s="35">
        <v>1</v>
      </c>
    </row>
    <row r="46" spans="2:31" x14ac:dyDescent="0.2">
      <c r="B46">
        <f t="shared" si="14"/>
        <v>7.1075438685870447</v>
      </c>
      <c r="D46" s="1">
        <f t="shared" si="15"/>
        <v>148.96310437283086</v>
      </c>
      <c r="E46">
        <f t="shared" si="16"/>
        <v>0.6053681175286173</v>
      </c>
      <c r="F46">
        <f t="shared" si="0"/>
        <v>57.477723206294165</v>
      </c>
      <c r="G46" s="1">
        <f t="shared" si="6"/>
        <v>0.67445976963075738</v>
      </c>
      <c r="H46" s="1">
        <f t="shared" si="1"/>
        <v>5.8583575590127586</v>
      </c>
      <c r="I46" s="1">
        <f t="shared" si="7"/>
        <v>0</v>
      </c>
      <c r="J46" s="1">
        <f t="shared" si="2"/>
        <v>0</v>
      </c>
      <c r="K46" s="1">
        <f t="shared" si="8"/>
        <v>5.8583575590127586</v>
      </c>
      <c r="L46" s="1"/>
      <c r="M46" s="1">
        <f t="shared" si="9"/>
        <v>115675542.54787576</v>
      </c>
      <c r="N46" s="1">
        <f t="shared" si="10"/>
        <v>776962146.62083459</v>
      </c>
      <c r="O46" s="1">
        <f t="shared" si="11"/>
        <v>8.644852472475943</v>
      </c>
      <c r="P46" s="1">
        <f t="shared" si="12"/>
        <v>0.10931513909534153</v>
      </c>
      <c r="T46" s="1">
        <f t="shared" si="13"/>
        <v>976.35942877654793</v>
      </c>
      <c r="Y46" s="29" t="s">
        <v>363</v>
      </c>
      <c r="Z46" s="36" t="s">
        <v>364</v>
      </c>
      <c r="AA46" s="37" t="s">
        <v>365</v>
      </c>
      <c r="AB46" s="34">
        <f t="shared" si="3"/>
        <v>1.552E-5</v>
      </c>
      <c r="AC46" s="34">
        <f t="shared" si="4"/>
        <v>1.5520000000000001E-7</v>
      </c>
      <c r="AD46" s="34">
        <f t="shared" si="5"/>
        <v>6443298.969072164</v>
      </c>
      <c r="AE46" s="35">
        <v>1</v>
      </c>
    </row>
    <row r="47" spans="2:31" x14ac:dyDescent="0.2">
      <c r="B47">
        <f t="shared" si="14"/>
        <v>7.178619307272915</v>
      </c>
      <c r="D47" s="1">
        <f t="shared" si="15"/>
        <v>150.45273541655916</v>
      </c>
      <c r="E47">
        <f t="shared" si="16"/>
        <v>0.60838742861546979</v>
      </c>
      <c r="F47">
        <f t="shared" si="0"/>
        <v>61.234857678561035</v>
      </c>
      <c r="G47" s="1">
        <f t="shared" si="6"/>
        <v>0.63677571034714198</v>
      </c>
      <c r="H47" s="1">
        <f t="shared" si="1"/>
        <v>5.5310338200752751</v>
      </c>
      <c r="I47" s="1">
        <f t="shared" si="7"/>
        <v>0</v>
      </c>
      <c r="J47" s="1">
        <f t="shared" si="2"/>
        <v>0</v>
      </c>
      <c r="K47" s="1">
        <f t="shared" si="8"/>
        <v>5.5310338200752751</v>
      </c>
      <c r="L47" s="1"/>
      <c r="M47" s="1">
        <f t="shared" si="9"/>
        <v>122016714.72068577</v>
      </c>
      <c r="N47" s="1">
        <f t="shared" si="10"/>
        <v>736583656.22501433</v>
      </c>
      <c r="O47" s="1">
        <f t="shared" si="11"/>
        <v>8.1955820748750909</v>
      </c>
      <c r="P47" s="1">
        <f t="shared" si="12"/>
        <v>0.10260798416747843</v>
      </c>
      <c r="T47" s="1">
        <f t="shared" si="13"/>
        <v>925.61832126032596</v>
      </c>
      <c r="Y47" s="29" t="s">
        <v>366</v>
      </c>
      <c r="Z47" s="36" t="s">
        <v>367</v>
      </c>
      <c r="AA47" s="37" t="s">
        <v>368</v>
      </c>
      <c r="AB47" s="34">
        <f t="shared" si="3"/>
        <v>5.3000000000000001E-6</v>
      </c>
      <c r="AC47" s="34">
        <f t="shared" si="4"/>
        <v>5.2999999999999998E-8</v>
      </c>
      <c r="AD47" s="34">
        <f t="shared" si="5"/>
        <v>18867924.528301887</v>
      </c>
      <c r="AE47" s="35">
        <v>1</v>
      </c>
    </row>
    <row r="48" spans="2:31" x14ac:dyDescent="0.2">
      <c r="B48">
        <f t="shared" si="14"/>
        <v>7.2504055003456438</v>
      </c>
      <c r="D48" s="1">
        <f t="shared" si="15"/>
        <v>151.95726277072472</v>
      </c>
      <c r="E48">
        <f t="shared" si="16"/>
        <v>0.61142179870390345</v>
      </c>
      <c r="F48">
        <f t="shared" si="0"/>
        <v>64.843595746685338</v>
      </c>
      <c r="G48" s="1">
        <f t="shared" si="6"/>
        <v>0.60490943055166602</v>
      </c>
      <c r="H48" s="1">
        <f t="shared" si="1"/>
        <v>5.254243313771771</v>
      </c>
      <c r="I48" s="1">
        <f t="shared" si="7"/>
        <v>0</v>
      </c>
      <c r="J48" s="1">
        <f t="shared" si="2"/>
        <v>0</v>
      </c>
      <c r="K48" s="1">
        <f t="shared" si="8"/>
        <v>5.254243313771771</v>
      </c>
      <c r="L48" s="1"/>
      <c r="M48" s="1">
        <f t="shared" si="9"/>
        <v>127928212.16565125</v>
      </c>
      <c r="N48" s="1">
        <f t="shared" si="10"/>
        <v>702546501.10445952</v>
      </c>
      <c r="O48" s="1">
        <f t="shared" si="11"/>
        <v>7.8168684066742529</v>
      </c>
      <c r="P48" s="1">
        <f t="shared" si="12"/>
        <v>9.6897546084969671E-2</v>
      </c>
      <c r="T48" s="1">
        <f t="shared" si="13"/>
        <v>882.84597066999345</v>
      </c>
      <c r="Y48" s="29" t="s">
        <v>369</v>
      </c>
      <c r="Z48" s="36" t="s">
        <v>370</v>
      </c>
      <c r="AA48" s="37" t="s">
        <v>371</v>
      </c>
      <c r="AB48" s="34">
        <f t="shared" si="3"/>
        <v>9.6600000000000007E-6</v>
      </c>
      <c r="AC48" s="34">
        <f t="shared" si="4"/>
        <v>9.6600000000000005E-8</v>
      </c>
      <c r="AD48" s="34">
        <f t="shared" si="5"/>
        <v>10351966.873706004</v>
      </c>
      <c r="AE48" s="30">
        <v>4000</v>
      </c>
    </row>
    <row r="49" spans="2:31" x14ac:dyDescent="0.2">
      <c r="B49">
        <f t="shared" si="14"/>
        <v>7.3229095553491002</v>
      </c>
      <c r="D49" s="1">
        <f t="shared" si="15"/>
        <v>153.476835398432</v>
      </c>
      <c r="E49">
        <f t="shared" si="16"/>
        <v>0.61447130290162444</v>
      </c>
      <c r="F49">
        <f t="shared" si="0"/>
        <v>68.328772888921819</v>
      </c>
      <c r="G49" s="1">
        <f t="shared" si="6"/>
        <v>0.57752213395879659</v>
      </c>
      <c r="H49" s="1">
        <f t="shared" si="1"/>
        <v>5.0163572555661071</v>
      </c>
      <c r="I49" s="1">
        <f t="shared" si="7"/>
        <v>0</v>
      </c>
      <c r="J49" s="1">
        <f t="shared" si="2"/>
        <v>0</v>
      </c>
      <c r="K49" s="1">
        <f t="shared" si="8"/>
        <v>5.0163572555661071</v>
      </c>
      <c r="L49" s="1"/>
      <c r="M49" s="1">
        <f t="shared" si="9"/>
        <v>133469332.49283208</v>
      </c>
      <c r="N49" s="1">
        <f t="shared" si="10"/>
        <v>673379540.98447275</v>
      </c>
      <c r="O49" s="1">
        <f t="shared" si="11"/>
        <v>7.4923428575152613</v>
      </c>
      <c r="P49" s="1">
        <f t="shared" si="12"/>
        <v>9.1955190200675802E-2</v>
      </c>
      <c r="T49" s="1">
        <f t="shared" si="13"/>
        <v>846.19368761379474</v>
      </c>
      <c r="Y49" s="29" t="s">
        <v>372</v>
      </c>
      <c r="Z49" s="36" t="s">
        <v>373</v>
      </c>
      <c r="AA49" s="37" t="s">
        <v>374</v>
      </c>
      <c r="AB49" s="34">
        <f t="shared" si="3"/>
        <v>2.0649999999999997E-5</v>
      </c>
      <c r="AC49" s="34">
        <f t="shared" si="4"/>
        <v>2.0649999999999998E-7</v>
      </c>
      <c r="AD49" s="34">
        <f t="shared" si="5"/>
        <v>4842615.0121065378</v>
      </c>
      <c r="AE49" s="30">
        <v>1</v>
      </c>
    </row>
    <row r="50" spans="2:31" ht="12.75" customHeight="1" x14ac:dyDescent="0.2">
      <c r="B50">
        <f t="shared" ref="B50:B56" si="17">B49*1.05</f>
        <v>7.6890550331165555</v>
      </c>
      <c r="D50" s="1">
        <f t="shared" si="15"/>
        <v>161.15067716835361</v>
      </c>
      <c r="E50">
        <f t="shared" si="16"/>
        <v>0.62964571879279929</v>
      </c>
      <c r="F50">
        <f t="shared" si="0"/>
        <v>84.161885390046919</v>
      </c>
      <c r="G50" s="1">
        <f t="shared" si="6"/>
        <v>0.48360528720839169</v>
      </c>
      <c r="H50" s="1">
        <f t="shared" si="1"/>
        <v>4.2005955246920905</v>
      </c>
      <c r="I50" s="1">
        <f t="shared" si="7"/>
        <v>0</v>
      </c>
      <c r="J50" s="1">
        <f t="shared" si="2"/>
        <v>0</v>
      </c>
      <c r="K50" s="1">
        <f t="shared" si="8"/>
        <v>4.2005955246920905</v>
      </c>
      <c r="L50" s="1"/>
      <c r="M50" s="1">
        <f t="shared" si="9"/>
        <v>156568367.75961611</v>
      </c>
      <c r="N50" s="1">
        <f t="shared" si="10"/>
        <v>574033689.79049265</v>
      </c>
      <c r="O50" s="1">
        <f t="shared" si="11"/>
        <v>6.386973398964761</v>
      </c>
      <c r="P50" s="1">
        <f t="shared" si="12"/>
        <v>7.4655947618809435E-2</v>
      </c>
      <c r="T50" s="1">
        <f t="shared" si="13"/>
        <v>721.3520091035416</v>
      </c>
      <c r="Y50" s="38" t="s">
        <v>375</v>
      </c>
      <c r="Z50" s="36" t="s">
        <v>376</v>
      </c>
      <c r="AA50" s="37" t="s">
        <v>377</v>
      </c>
      <c r="AB50" s="34">
        <f t="shared" si="3"/>
        <v>4.2000000000000004E-6</v>
      </c>
      <c r="AC50" s="34">
        <f t="shared" si="4"/>
        <v>4.2000000000000006E-8</v>
      </c>
      <c r="AD50" s="34">
        <f t="shared" si="5"/>
        <v>23809523.809523806</v>
      </c>
      <c r="AE50" s="30">
        <v>1</v>
      </c>
    </row>
    <row r="51" spans="2:31" x14ac:dyDescent="0.2">
      <c r="B51">
        <f t="shared" si="17"/>
        <v>8.0735077847723833</v>
      </c>
      <c r="D51" s="1">
        <f t="shared" si="15"/>
        <v>169.20821102677129</v>
      </c>
      <c r="E51">
        <f t="shared" si="16"/>
        <v>0.64519486804670567</v>
      </c>
      <c r="F51">
        <f t="shared" si="0"/>
        <v>98.717277512443758</v>
      </c>
      <c r="G51" s="1">
        <f t="shared" si="6"/>
        <v>0.42624102572821948</v>
      </c>
      <c r="H51" s="1">
        <f t="shared" si="1"/>
        <v>3.7023295494753143</v>
      </c>
      <c r="I51" s="1">
        <f t="shared" si="7"/>
        <v>0</v>
      </c>
      <c r="J51" s="1">
        <f t="shared" si="2"/>
        <v>0</v>
      </c>
      <c r="K51" s="1">
        <f t="shared" si="8"/>
        <v>3.7023295494753143</v>
      </c>
      <c r="L51" s="1"/>
      <c r="M51" s="1">
        <f t="shared" si="9"/>
        <v>174901058.81365559</v>
      </c>
      <c r="N51" s="1">
        <f t="shared" si="10"/>
        <v>513864915.73663419</v>
      </c>
      <c r="O51" s="1">
        <f t="shared" si="11"/>
        <v>5.7175068394836046</v>
      </c>
      <c r="P51" s="1">
        <f t="shared" si="12"/>
        <v>6.3648283922614887E-2</v>
      </c>
      <c r="T51" s="1">
        <f t="shared" si="13"/>
        <v>645.74169768629929</v>
      </c>
      <c r="Y51" s="29" t="s">
        <v>378</v>
      </c>
      <c r="Z51" s="36" t="s">
        <v>379</v>
      </c>
      <c r="AA51" s="37" t="s">
        <v>380</v>
      </c>
      <c r="AB51" s="34">
        <f t="shared" si="3"/>
        <v>8.7070000000000015E-6</v>
      </c>
      <c r="AC51" s="34">
        <f t="shared" si="4"/>
        <v>8.7070000000000011E-8</v>
      </c>
      <c r="AD51" s="34">
        <f t="shared" si="5"/>
        <v>11485012.059262661</v>
      </c>
      <c r="AE51" s="30">
        <v>150</v>
      </c>
    </row>
    <row r="52" spans="2:31" x14ac:dyDescent="0.2">
      <c r="B52">
        <f t="shared" si="17"/>
        <v>8.4771831740110031</v>
      </c>
      <c r="D52" s="1">
        <f t="shared" si="15"/>
        <v>177.66862157810988</v>
      </c>
      <c r="E52">
        <f t="shared" si="16"/>
        <v>0.66112800473243927</v>
      </c>
      <c r="F52">
        <f t="shared" si="0"/>
        <v>112.60471257480337</v>
      </c>
      <c r="G52" s="1">
        <f t="shared" si="6"/>
        <v>0.3871896835379901</v>
      </c>
      <c r="H52" s="1">
        <f t="shared" si="1"/>
        <v>3.3631295912109822</v>
      </c>
      <c r="I52" s="1">
        <f t="shared" si="7"/>
        <v>0</v>
      </c>
      <c r="J52" s="1">
        <f t="shared" si="2"/>
        <v>0</v>
      </c>
      <c r="K52" s="1">
        <f t="shared" si="8"/>
        <v>3.3631295912109822</v>
      </c>
      <c r="L52" s="1"/>
      <c r="M52" s="1">
        <f t="shared" si="9"/>
        <v>190005659.19180143</v>
      </c>
      <c r="N52" s="1">
        <f t="shared" si="10"/>
        <v>473014952.45887542</v>
      </c>
      <c r="O52" s="1">
        <f t="shared" si="11"/>
        <v>5.2629906090878631</v>
      </c>
      <c r="P52" s="1">
        <f t="shared" si="12"/>
        <v>5.5798599929871164E-2</v>
      </c>
      <c r="T52" s="1">
        <f t="shared" si="13"/>
        <v>594.40811987317136</v>
      </c>
      <c r="Y52" s="38" t="s">
        <v>381</v>
      </c>
      <c r="Z52" s="36" t="s">
        <v>382</v>
      </c>
      <c r="AA52" s="37" t="s">
        <v>383</v>
      </c>
      <c r="AB52" s="34">
        <f t="shared" si="3"/>
        <v>1.1E-4</v>
      </c>
      <c r="AC52" s="34">
        <f t="shared" si="4"/>
        <v>1.1000000000000001E-6</v>
      </c>
      <c r="AD52" s="34">
        <f t="shared" si="5"/>
        <v>909090.90909090906</v>
      </c>
      <c r="AE52" s="30">
        <v>1</v>
      </c>
    </row>
    <row r="53" spans="2:31" x14ac:dyDescent="0.2">
      <c r="B53">
        <f t="shared" si="17"/>
        <v>8.9010423327115529</v>
      </c>
      <c r="D53" s="1">
        <f t="shared" si="15"/>
        <v>186.55205265701537</v>
      </c>
      <c r="E53">
        <f t="shared" si="16"/>
        <v>0.67745461144904096</v>
      </c>
      <c r="F53">
        <f t="shared" si="0"/>
        <v>126.15605633949684</v>
      </c>
      <c r="G53" s="1">
        <f t="shared" si="6"/>
        <v>0.35889911171490818</v>
      </c>
      <c r="H53" s="1">
        <f t="shared" si="1"/>
        <v>3.1173976843556925</v>
      </c>
      <c r="I53" s="1">
        <f t="shared" si="7"/>
        <v>0</v>
      </c>
      <c r="J53" s="1">
        <f t="shared" si="2"/>
        <v>0</v>
      </c>
      <c r="K53" s="1">
        <f t="shared" si="8"/>
        <v>3.1173976843556925</v>
      </c>
      <c r="L53" s="1"/>
      <c r="M53" s="1">
        <f t="shared" si="9"/>
        <v>202735020.4827657</v>
      </c>
      <c r="N53" s="1">
        <f t="shared" si="10"/>
        <v>443315208.37154764</v>
      </c>
      <c r="O53" s="1">
        <f t="shared" si="11"/>
        <v>4.9325370506720558</v>
      </c>
      <c r="P53" s="1">
        <f t="shared" si="12"/>
        <v>4.9804864621568322E-2</v>
      </c>
      <c r="T53" s="1">
        <f t="shared" si="13"/>
        <v>557.08632073787305</v>
      </c>
      <c r="Y53" s="29" t="s">
        <v>384</v>
      </c>
      <c r="Z53" s="36" t="s">
        <v>385</v>
      </c>
      <c r="AA53" s="37" t="s">
        <v>386</v>
      </c>
      <c r="AB53" s="34">
        <f t="shared" si="3"/>
        <v>1.062E-5</v>
      </c>
      <c r="AC53" s="34">
        <f t="shared" si="4"/>
        <v>1.062E-7</v>
      </c>
      <c r="AD53" s="34">
        <f t="shared" si="5"/>
        <v>9416195.8568738233</v>
      </c>
      <c r="AE53" s="30">
        <v>1</v>
      </c>
    </row>
    <row r="54" spans="2:31" x14ac:dyDescent="0.2">
      <c r="B54">
        <f t="shared" si="17"/>
        <v>9.346094449347131</v>
      </c>
      <c r="D54" s="1">
        <f t="shared" si="15"/>
        <v>195.87965528986615</v>
      </c>
      <c r="E54">
        <f t="shared" si="16"/>
        <v>0.69418440496906131</v>
      </c>
      <c r="F54">
        <f t="shared" si="0"/>
        <v>139.57980354286667</v>
      </c>
      <c r="G54" s="1">
        <f t="shared" si="6"/>
        <v>0.33759869011783683</v>
      </c>
      <c r="H54" s="1">
        <f t="shared" si="1"/>
        <v>2.9323822223635307</v>
      </c>
      <c r="I54" s="1">
        <f t="shared" si="7"/>
        <v>0</v>
      </c>
      <c r="J54" s="1">
        <f t="shared" si="2"/>
        <v>0</v>
      </c>
      <c r="K54" s="1">
        <f t="shared" si="8"/>
        <v>2.9323822223635307</v>
      </c>
      <c r="L54" s="1"/>
      <c r="M54" s="1">
        <f t="shared" si="9"/>
        <v>213625924.16107306</v>
      </c>
      <c r="N54" s="1">
        <f t="shared" si="10"/>
        <v>420714471.81551558</v>
      </c>
      <c r="O54" s="1">
        <f t="shared" si="11"/>
        <v>4.6810704455794685</v>
      </c>
      <c r="P54" s="1">
        <f t="shared" si="12"/>
        <v>4.5015003228958857E-2</v>
      </c>
      <c r="T54" s="1">
        <f t="shared" si="13"/>
        <v>528.68539756581356</v>
      </c>
      <c r="Y54" s="29" t="s">
        <v>387</v>
      </c>
      <c r="Z54" s="36" t="s">
        <v>388</v>
      </c>
      <c r="AA54" s="37" t="s">
        <v>386</v>
      </c>
      <c r="AB54" s="34">
        <f t="shared" si="3"/>
        <v>1.062E-5</v>
      </c>
      <c r="AC54" s="34">
        <f t="shared" si="4"/>
        <v>1.062E-7</v>
      </c>
      <c r="AD54" s="34">
        <f t="shared" si="5"/>
        <v>9416195.8568738233</v>
      </c>
      <c r="AE54" s="30">
        <v>1</v>
      </c>
    </row>
    <row r="55" spans="2:31" x14ac:dyDescent="0.2">
      <c r="B55">
        <f t="shared" si="17"/>
        <v>9.8133991718144884</v>
      </c>
      <c r="D55" s="1">
        <f t="shared" si="15"/>
        <v>205.67363805435946</v>
      </c>
      <c r="E55">
        <f t="shared" si="16"/>
        <v>0.71132734202149306</v>
      </c>
      <c r="F55">
        <f t="shared" si="0"/>
        <v>153.02067700511628</v>
      </c>
      <c r="G55" s="1">
        <f t="shared" si="6"/>
        <v>0.32116628834652711</v>
      </c>
      <c r="H55" s="1">
        <f t="shared" si="1"/>
        <v>2.7896503805779345</v>
      </c>
      <c r="I55" s="1">
        <f t="shared" si="7"/>
        <v>0</v>
      </c>
      <c r="J55" s="1">
        <f t="shared" si="2"/>
        <v>0</v>
      </c>
      <c r="K55" s="1">
        <f t="shared" si="8"/>
        <v>2.7896503805779345</v>
      </c>
      <c r="L55" s="1"/>
      <c r="M55" s="1">
        <f t="shared" si="9"/>
        <v>223044845.76627558</v>
      </c>
      <c r="N55" s="1">
        <f t="shared" si="10"/>
        <v>402948194.30037886</v>
      </c>
      <c r="O55" s="1">
        <f t="shared" si="11"/>
        <v>4.4833943441485244</v>
      </c>
      <c r="P55" s="1">
        <f t="shared" si="12"/>
        <v>4.1061021491687076E-2</v>
      </c>
      <c r="T55" s="1">
        <f t="shared" si="13"/>
        <v>506.35963479653714</v>
      </c>
      <c r="Y55" s="29" t="s">
        <v>389</v>
      </c>
      <c r="Z55" s="36" t="s">
        <v>390</v>
      </c>
      <c r="AA55" s="37" t="s">
        <v>391</v>
      </c>
      <c r="AB55" s="34">
        <f t="shared" si="3"/>
        <v>4.51E-6</v>
      </c>
      <c r="AC55" s="34">
        <f t="shared" si="4"/>
        <v>4.51E-8</v>
      </c>
      <c r="AD55" s="34">
        <f t="shared" si="5"/>
        <v>22172949.002217297</v>
      </c>
      <c r="AE55" s="30">
        <v>1</v>
      </c>
    </row>
    <row r="56" spans="2:31" x14ac:dyDescent="0.2">
      <c r="B56">
        <f t="shared" si="17"/>
        <v>10.304069130405214</v>
      </c>
      <c r="D56" s="1">
        <f t="shared" si="15"/>
        <v>215.95731995707746</v>
      </c>
      <c r="E56">
        <f t="shared" si="16"/>
        <v>0.72889362521751433</v>
      </c>
      <c r="F56">
        <f t="shared" si="0"/>
        <v>166.58705304924507</v>
      </c>
      <c r="G56" s="1">
        <f t="shared" si="6"/>
        <v>0.308303033876139</v>
      </c>
      <c r="H56" s="1">
        <f t="shared" si="1"/>
        <v>2.6779201522481433</v>
      </c>
      <c r="I56" s="1">
        <f t="shared" si="7"/>
        <v>0</v>
      </c>
      <c r="J56" s="1">
        <f t="shared" si="2"/>
        <v>0</v>
      </c>
      <c r="K56" s="1">
        <f t="shared" si="8"/>
        <v>2.6779201522481433</v>
      </c>
      <c r="L56" s="1"/>
      <c r="M56" s="1">
        <f t="shared" si="9"/>
        <v>231256537.67061317</v>
      </c>
      <c r="N56" s="1">
        <f t="shared" si="10"/>
        <v>388639900.75619006</v>
      </c>
      <c r="O56" s="1">
        <f t="shared" si="11"/>
        <v>4.3241934263684794</v>
      </c>
      <c r="P56" s="1">
        <f t="shared" si="12"/>
        <v>3.7717128625369245E-2</v>
      </c>
      <c r="T56" s="1">
        <f t="shared" si="13"/>
        <v>488.37930284300529</v>
      </c>
      <c r="Y56" s="30" t="s">
        <v>392</v>
      </c>
      <c r="Z56" s="36" t="s">
        <v>393</v>
      </c>
      <c r="AA56" s="39">
        <v>2000000000</v>
      </c>
      <c r="AB56" s="34">
        <f t="shared" si="3"/>
        <v>2000</v>
      </c>
      <c r="AC56" s="34">
        <f t="shared" si="4"/>
        <v>20</v>
      </c>
      <c r="AD56" s="34">
        <f t="shared" si="5"/>
        <v>0.05</v>
      </c>
      <c r="AE56" s="30">
        <v>1</v>
      </c>
    </row>
    <row r="57" spans="2:31" x14ac:dyDescent="0.2">
      <c r="I57" s="2"/>
      <c r="Q57"/>
      <c r="Y57" s="30" t="s">
        <v>394</v>
      </c>
      <c r="Z57" s="36" t="s">
        <v>393</v>
      </c>
      <c r="AA57" s="39">
        <v>2000000</v>
      </c>
      <c r="AB57" s="34">
        <f t="shared" si="3"/>
        <v>2</v>
      </c>
      <c r="AC57" s="34">
        <f t="shared" si="4"/>
        <v>0.02</v>
      </c>
      <c r="AD57" s="34">
        <f t="shared" si="5"/>
        <v>50</v>
      </c>
      <c r="AE57" s="30">
        <v>1</v>
      </c>
    </row>
    <row r="58" spans="2:31" x14ac:dyDescent="0.2">
      <c r="Y58" s="29" t="s">
        <v>395</v>
      </c>
      <c r="Z58" s="36" t="s">
        <v>396</v>
      </c>
      <c r="AA58" s="37" t="s">
        <v>397</v>
      </c>
      <c r="AB58" s="34">
        <f t="shared" si="3"/>
        <v>1.59E-6</v>
      </c>
      <c r="AC58" s="34">
        <f t="shared" si="4"/>
        <v>1.59E-8</v>
      </c>
      <c r="AD58" s="34">
        <f t="shared" si="5"/>
        <v>62893081.761006288</v>
      </c>
      <c r="AE58" s="30">
        <v>1</v>
      </c>
    </row>
    <row r="59" spans="2:31" x14ac:dyDescent="0.2">
      <c r="Y59" s="29" t="s">
        <v>398</v>
      </c>
      <c r="Z59" s="36"/>
      <c r="AA59" s="37"/>
      <c r="AB59" s="34"/>
      <c r="AC59" s="34"/>
      <c r="AD59" s="34">
        <v>1100000</v>
      </c>
      <c r="AE59" s="30"/>
    </row>
    <row r="60" spans="2:31" x14ac:dyDescent="0.2">
      <c r="Y60" s="29" t="s">
        <v>399</v>
      </c>
      <c r="Z60" s="36" t="s">
        <v>400</v>
      </c>
      <c r="AA60" s="37" t="s">
        <v>365</v>
      </c>
      <c r="AB60" s="34">
        <f t="shared" si="3"/>
        <v>1.552E-5</v>
      </c>
      <c r="AC60" s="34">
        <f t="shared" si="4"/>
        <v>1.5520000000000001E-7</v>
      </c>
      <c r="AD60" s="34">
        <f t="shared" si="5"/>
        <v>6443298.969072164</v>
      </c>
      <c r="AE60" s="30">
        <v>1</v>
      </c>
    </row>
    <row r="61" spans="2:31" ht="25.5" x14ac:dyDescent="0.2">
      <c r="Y61" s="38" t="s">
        <v>401</v>
      </c>
      <c r="Z61" s="36" t="s">
        <v>402</v>
      </c>
      <c r="AA61" s="37" t="s">
        <v>403</v>
      </c>
      <c r="AB61" s="34">
        <f t="shared" si="3"/>
        <v>2.52E-4</v>
      </c>
      <c r="AC61" s="34">
        <f t="shared" si="4"/>
        <v>2.52E-6</v>
      </c>
      <c r="AD61" s="34">
        <f t="shared" si="5"/>
        <v>396825.39682539681</v>
      </c>
      <c r="AE61" s="30">
        <v>1</v>
      </c>
    </row>
    <row r="62" spans="2:31" x14ac:dyDescent="0.2">
      <c r="B62" s="2"/>
      <c r="G62" s="1"/>
      <c r="H62" s="1"/>
      <c r="K62" s="1"/>
      <c r="V62" s="1"/>
      <c r="W62" s="1"/>
      <c r="X62" s="1"/>
      <c r="Y62" s="29" t="s">
        <v>404</v>
      </c>
      <c r="Z62" s="36" t="s">
        <v>405</v>
      </c>
      <c r="AA62" s="37" t="s">
        <v>406</v>
      </c>
      <c r="AB62" s="34">
        <f t="shared" si="3"/>
        <v>1.1550000000000001E-5</v>
      </c>
      <c r="AC62" s="34">
        <f t="shared" si="4"/>
        <v>1.1550000000000001E-7</v>
      </c>
      <c r="AD62" s="34">
        <f t="shared" si="5"/>
        <v>8658008.6580086574</v>
      </c>
      <c r="AE62" s="30">
        <v>1</v>
      </c>
    </row>
    <row r="63" spans="2:31" x14ac:dyDescent="0.2">
      <c r="G63" s="1"/>
      <c r="H63" s="1"/>
      <c r="K63" s="1"/>
      <c r="V63" s="1"/>
      <c r="W63" s="1"/>
      <c r="X63" s="1"/>
      <c r="Y63" s="29" t="s">
        <v>407</v>
      </c>
      <c r="Z63" s="36" t="s">
        <v>408</v>
      </c>
      <c r="AA63" s="37" t="s">
        <v>409</v>
      </c>
      <c r="AB63" s="34">
        <f t="shared" si="3"/>
        <v>5.5000000000000002E-5</v>
      </c>
      <c r="AC63" s="34">
        <f t="shared" si="4"/>
        <v>5.5000000000000003E-7</v>
      </c>
      <c r="AD63" s="34">
        <f t="shared" si="5"/>
        <v>1818181.8181818181</v>
      </c>
      <c r="AE63" s="30">
        <v>1</v>
      </c>
    </row>
    <row r="64" spans="2:31" x14ac:dyDescent="0.2">
      <c r="G64" s="1"/>
      <c r="H64" s="1"/>
      <c r="K64" s="1"/>
      <c r="V64" s="1"/>
      <c r="W64" s="1"/>
      <c r="X64" s="1"/>
      <c r="Y64" s="29" t="s">
        <v>410</v>
      </c>
      <c r="Z64" s="36" t="s">
        <v>265</v>
      </c>
      <c r="AA64" s="37" t="s">
        <v>411</v>
      </c>
      <c r="AB64" s="34">
        <f t="shared" si="3"/>
        <v>5.5999999999999997E-6</v>
      </c>
      <c r="AC64" s="34">
        <f t="shared" si="4"/>
        <v>5.5999999999999999E-8</v>
      </c>
      <c r="AD64" s="34">
        <f t="shared" si="5"/>
        <v>17857142.857142858</v>
      </c>
      <c r="AE64" s="30">
        <v>1</v>
      </c>
    </row>
    <row r="65" spans="7:31" x14ac:dyDescent="0.2">
      <c r="G65" s="1"/>
      <c r="H65" s="1"/>
      <c r="K65" s="1"/>
      <c r="V65" s="1"/>
      <c r="W65" s="1"/>
      <c r="X65" s="1"/>
      <c r="Y65" s="29" t="s">
        <v>412</v>
      </c>
      <c r="Z65" s="36" t="s">
        <v>413</v>
      </c>
      <c r="AA65" s="37" t="s">
        <v>414</v>
      </c>
      <c r="AB65" s="34">
        <f t="shared" si="3"/>
        <v>5.6799999999999998E-6</v>
      </c>
      <c r="AC65" s="34">
        <f t="shared" si="4"/>
        <v>5.6799999999999999E-8</v>
      </c>
      <c r="AD65" s="34">
        <f t="shared" si="5"/>
        <v>17605633.802816901</v>
      </c>
      <c r="AE65" s="30">
        <v>1</v>
      </c>
    </row>
    <row r="66" spans="7:31" x14ac:dyDescent="0.2">
      <c r="G66" s="1"/>
      <c r="H66" s="1"/>
      <c r="K66" s="1"/>
      <c r="V66" s="1"/>
      <c r="W66" s="1"/>
      <c r="X66" s="1"/>
      <c r="Y66" s="29" t="s">
        <v>415</v>
      </c>
      <c r="Z66" s="36" t="s">
        <v>416</v>
      </c>
      <c r="AA66" s="37" t="s">
        <v>417</v>
      </c>
      <c r="AB66" s="34">
        <f t="shared" si="3"/>
        <v>4.0999999999999997E-6</v>
      </c>
      <c r="AC66" s="34">
        <f t="shared" si="4"/>
        <v>4.0999999999999997E-8</v>
      </c>
      <c r="AD66" s="34">
        <f t="shared" si="5"/>
        <v>24390243.902439028</v>
      </c>
      <c r="AE66" s="30">
        <v>1</v>
      </c>
    </row>
    <row r="67" spans="7:31" x14ac:dyDescent="0.2">
      <c r="G67" s="1"/>
      <c r="H67" s="1"/>
      <c r="K67" s="1"/>
      <c r="V67" s="1"/>
      <c r="W67" s="1"/>
      <c r="X67" s="1"/>
      <c r="Y67" s="1"/>
    </row>
    <row r="68" spans="7:31" x14ac:dyDescent="0.2">
      <c r="G68" s="1"/>
      <c r="H68" s="1"/>
      <c r="K68" s="1"/>
      <c r="V68" s="1"/>
      <c r="W68" s="1"/>
      <c r="X68" s="1"/>
      <c r="Y68" s="1"/>
    </row>
    <row r="69" spans="7:31" x14ac:dyDescent="0.2">
      <c r="G69" s="1"/>
      <c r="H69" s="1"/>
      <c r="K69" s="1"/>
      <c r="V69" s="1"/>
      <c r="W69" s="1"/>
      <c r="X69" s="1"/>
      <c r="Y69" s="1"/>
    </row>
    <row r="70" spans="7:31" x14ac:dyDescent="0.2">
      <c r="G70" s="1"/>
      <c r="H70" s="1"/>
      <c r="K70" s="1"/>
      <c r="V70" s="1"/>
      <c r="W70" s="1"/>
      <c r="X70" s="1"/>
      <c r="Y70" s="1"/>
    </row>
    <row r="71" spans="7:31" x14ac:dyDescent="0.2">
      <c r="G71" s="1"/>
      <c r="H71" s="1"/>
      <c r="K71" s="1"/>
      <c r="V71" s="1"/>
      <c r="W71" s="1"/>
      <c r="X71" s="1"/>
      <c r="Y71" s="1"/>
    </row>
    <row r="72" spans="7:31" x14ac:dyDescent="0.2">
      <c r="G72" s="1"/>
      <c r="H72" s="1"/>
      <c r="K72" s="1"/>
      <c r="V72" s="1"/>
      <c r="W72" s="1"/>
      <c r="X72" s="1"/>
      <c r="Y72" s="1"/>
    </row>
    <row r="73" spans="7:31" x14ac:dyDescent="0.2">
      <c r="G73" s="1"/>
      <c r="H73" s="1"/>
      <c r="K73" s="1"/>
      <c r="V73" s="1"/>
      <c r="W73" s="1"/>
      <c r="X73" s="1"/>
      <c r="Y73" s="1"/>
    </row>
    <row r="74" spans="7:31" x14ac:dyDescent="0.2">
      <c r="G74" s="1"/>
      <c r="H74" s="1"/>
      <c r="K74" s="1"/>
      <c r="V74" s="1"/>
      <c r="W74" s="1"/>
      <c r="X74" s="1"/>
      <c r="Y74" s="1"/>
    </row>
    <row r="75" spans="7:31" x14ac:dyDescent="0.2">
      <c r="G75" s="1"/>
      <c r="H75" s="1"/>
      <c r="K75" s="1"/>
      <c r="V75" s="1"/>
      <c r="W75" s="1"/>
      <c r="X75" s="1"/>
      <c r="Y75" s="1"/>
    </row>
    <row r="76" spans="7:31" x14ac:dyDescent="0.2">
      <c r="G76" s="1"/>
      <c r="H76" s="1"/>
      <c r="K76" s="1"/>
      <c r="V76" s="1"/>
      <c r="W76" s="1"/>
      <c r="X76" s="1"/>
      <c r="Y76" s="1"/>
    </row>
    <row r="77" spans="7:31" x14ac:dyDescent="0.2">
      <c r="G77" s="1"/>
      <c r="H77" s="1"/>
      <c r="K77" s="1"/>
      <c r="V77" s="1"/>
      <c r="W77" s="1"/>
      <c r="X77" s="1"/>
      <c r="Y77" s="1"/>
    </row>
    <row r="78" spans="7:31" x14ac:dyDescent="0.2">
      <c r="G78" s="1"/>
      <c r="H78" s="1"/>
      <c r="K78" s="1"/>
      <c r="V78" s="1"/>
      <c r="W78" s="1"/>
      <c r="X78" s="1"/>
      <c r="Y78" s="1"/>
    </row>
    <row r="79" spans="7:31" x14ac:dyDescent="0.2">
      <c r="G79" s="1"/>
      <c r="H79" s="1"/>
      <c r="K79" s="1"/>
      <c r="V79" s="1"/>
      <c r="W79" s="1"/>
      <c r="X79" s="1"/>
      <c r="Y79" s="1"/>
    </row>
    <row r="80" spans="7:31" x14ac:dyDescent="0.2">
      <c r="G80" s="1"/>
      <c r="H80" s="1"/>
      <c r="K80" s="1"/>
      <c r="V80" s="1"/>
      <c r="W80" s="1"/>
      <c r="X80" s="1"/>
      <c r="Y80" s="1"/>
    </row>
    <row r="81" spans="2:25" x14ac:dyDescent="0.2">
      <c r="G81" s="1"/>
      <c r="H81" s="1"/>
      <c r="K81" s="1"/>
      <c r="V81" s="1"/>
      <c r="W81" s="1"/>
      <c r="X81" s="1"/>
      <c r="Y81" s="1"/>
    </row>
    <row r="84" spans="2:25" x14ac:dyDescent="0.2">
      <c r="B84" s="2"/>
      <c r="G84" s="1"/>
      <c r="H84" s="1"/>
      <c r="K84" s="1"/>
      <c r="V84" s="1"/>
      <c r="W84" s="1"/>
      <c r="X84" s="1"/>
      <c r="Y84" s="1"/>
    </row>
    <row r="85" spans="2:25" x14ac:dyDescent="0.2">
      <c r="G85" s="1"/>
      <c r="H85" s="1"/>
      <c r="K85" s="1"/>
      <c r="V85" s="1"/>
      <c r="W85" s="1"/>
      <c r="X85" s="1"/>
      <c r="Y85" s="1"/>
    </row>
    <row r="86" spans="2:25" x14ac:dyDescent="0.2">
      <c r="G86" s="1"/>
      <c r="H86" s="1"/>
      <c r="K86" s="1"/>
      <c r="V86" s="1"/>
      <c r="W86" s="1"/>
      <c r="X86" s="1"/>
      <c r="Y86" s="1"/>
    </row>
    <row r="87" spans="2:25" x14ac:dyDescent="0.2">
      <c r="G87" s="1"/>
      <c r="H87" s="1"/>
      <c r="K87" s="1"/>
      <c r="V87" s="1"/>
      <c r="W87" s="1"/>
      <c r="X87" s="1"/>
      <c r="Y87" s="1"/>
    </row>
    <row r="88" spans="2:25" x14ac:dyDescent="0.2">
      <c r="G88" s="1"/>
      <c r="H88" s="1"/>
      <c r="K88" s="1"/>
      <c r="V88" s="1"/>
      <c r="W88" s="1"/>
      <c r="X88" s="1"/>
      <c r="Y88" s="1"/>
    </row>
    <row r="89" spans="2:25" x14ac:dyDescent="0.2">
      <c r="G89" s="1"/>
      <c r="H89" s="1"/>
      <c r="K89" s="1"/>
      <c r="V89" s="1"/>
      <c r="W89" s="1"/>
      <c r="X89" s="1"/>
      <c r="Y89" s="1"/>
    </row>
    <row r="90" spans="2:25" x14ac:dyDescent="0.2">
      <c r="G90" s="1"/>
      <c r="H90" s="1"/>
      <c r="K90" s="1"/>
      <c r="V90" s="1"/>
      <c r="W90" s="1"/>
      <c r="X90" s="1"/>
      <c r="Y90" s="1"/>
    </row>
    <row r="91" spans="2:25" x14ac:dyDescent="0.2">
      <c r="G91" s="1"/>
      <c r="H91" s="1"/>
      <c r="K91" s="1"/>
      <c r="V91" s="1"/>
      <c r="W91" s="1"/>
      <c r="X91" s="1"/>
      <c r="Y91" s="1"/>
    </row>
    <row r="92" spans="2:25" x14ac:dyDescent="0.2">
      <c r="G92" s="1"/>
      <c r="H92" s="1"/>
      <c r="K92" s="1"/>
      <c r="V92" s="1"/>
      <c r="W92" s="1"/>
      <c r="X92" s="1"/>
      <c r="Y92" s="1"/>
    </row>
    <row r="93" spans="2:25" x14ac:dyDescent="0.2">
      <c r="G93" s="1"/>
      <c r="H93" s="1"/>
      <c r="K93" s="1"/>
      <c r="V93" s="1"/>
      <c r="W93" s="1"/>
      <c r="X93" s="1"/>
      <c r="Y93" s="1"/>
    </row>
    <row r="94" spans="2:25" x14ac:dyDescent="0.2">
      <c r="G94" s="1"/>
      <c r="H94" s="1"/>
      <c r="K94" s="1"/>
      <c r="V94" s="1"/>
      <c r="W94" s="1"/>
      <c r="X94" s="1"/>
      <c r="Y94" s="1"/>
    </row>
    <row r="95" spans="2:25" x14ac:dyDescent="0.2">
      <c r="G95" s="1"/>
      <c r="H95" s="1"/>
      <c r="K95" s="1"/>
      <c r="V95" s="1"/>
      <c r="W95" s="1"/>
      <c r="X95" s="1"/>
      <c r="Y95" s="1"/>
    </row>
    <row r="96" spans="2:25" x14ac:dyDescent="0.2">
      <c r="G96" s="1"/>
      <c r="H96" s="1"/>
      <c r="K96" s="1"/>
      <c r="V96" s="1"/>
      <c r="W96" s="1"/>
      <c r="X96" s="1"/>
      <c r="Y96" s="1"/>
    </row>
    <row r="97" spans="2:25" x14ac:dyDescent="0.2">
      <c r="G97" s="1"/>
      <c r="H97" s="1"/>
      <c r="K97" s="1"/>
      <c r="V97" s="1"/>
      <c r="W97" s="1"/>
      <c r="X97" s="1"/>
      <c r="Y97" s="1"/>
    </row>
    <row r="98" spans="2:25" x14ac:dyDescent="0.2">
      <c r="G98" s="1"/>
      <c r="H98" s="1"/>
      <c r="K98" s="1"/>
      <c r="V98" s="1"/>
      <c r="W98" s="1"/>
      <c r="X98" s="1"/>
      <c r="Y98" s="1"/>
    </row>
    <row r="99" spans="2:25" x14ac:dyDescent="0.2">
      <c r="G99" s="1"/>
      <c r="H99" s="1"/>
      <c r="K99" s="1"/>
      <c r="V99" s="1"/>
      <c r="W99" s="1"/>
      <c r="X99" s="1"/>
      <c r="Y99" s="1"/>
    </row>
    <row r="100" spans="2:25" x14ac:dyDescent="0.2">
      <c r="G100" s="1"/>
      <c r="H100" s="1"/>
      <c r="K100" s="1"/>
      <c r="V100" s="1"/>
      <c r="W100" s="1"/>
      <c r="X100" s="1"/>
      <c r="Y100" s="1"/>
    </row>
    <row r="101" spans="2:25" x14ac:dyDescent="0.2">
      <c r="G101" s="1"/>
      <c r="H101" s="1"/>
      <c r="K101" s="1"/>
      <c r="V101" s="1"/>
      <c r="W101" s="1"/>
      <c r="X101" s="1"/>
      <c r="Y101" s="1"/>
    </row>
    <row r="102" spans="2:25" x14ac:dyDescent="0.2">
      <c r="G102" s="1"/>
      <c r="H102" s="1"/>
      <c r="K102" s="1"/>
      <c r="V102" s="1"/>
      <c r="W102" s="1"/>
      <c r="X102" s="1"/>
      <c r="Y102" s="1"/>
    </row>
    <row r="103" spans="2:25" x14ac:dyDescent="0.2">
      <c r="G103" s="1"/>
      <c r="H103" s="1"/>
      <c r="K103" s="1"/>
      <c r="V103" s="1"/>
      <c r="W103" s="1"/>
      <c r="X103" s="1"/>
      <c r="Y103" s="1"/>
    </row>
    <row r="106" spans="2:25" x14ac:dyDescent="0.2">
      <c r="B106" s="2"/>
      <c r="G106" s="1"/>
      <c r="H106" s="1"/>
      <c r="K106" s="1"/>
      <c r="V106" s="1"/>
      <c r="W106" s="1"/>
      <c r="X106" s="1"/>
      <c r="Y106" s="1"/>
    </row>
    <row r="107" spans="2:25" x14ac:dyDescent="0.2">
      <c r="G107" s="1"/>
      <c r="H107" s="1"/>
      <c r="K107" s="1"/>
      <c r="V107" s="1"/>
      <c r="W107" s="1"/>
      <c r="X107" s="1"/>
      <c r="Y107" s="1"/>
    </row>
    <row r="108" spans="2:25" x14ac:dyDescent="0.2">
      <c r="G108" s="1"/>
      <c r="H108" s="1"/>
      <c r="K108" s="1"/>
      <c r="V108" s="1"/>
      <c r="W108" s="1"/>
      <c r="X108" s="1"/>
      <c r="Y108" s="1"/>
    </row>
    <row r="109" spans="2:25" x14ac:dyDescent="0.2">
      <c r="G109" s="1"/>
      <c r="H109" s="1"/>
      <c r="K109" s="1"/>
      <c r="V109" s="1"/>
      <c r="W109" s="1"/>
      <c r="X109" s="1"/>
      <c r="Y109" s="1"/>
    </row>
    <row r="110" spans="2:25" x14ac:dyDescent="0.2">
      <c r="G110" s="1"/>
      <c r="H110" s="1"/>
      <c r="K110" s="1"/>
      <c r="V110" s="1"/>
      <c r="W110" s="1"/>
      <c r="X110" s="1"/>
      <c r="Y110" s="1"/>
    </row>
    <row r="111" spans="2:25" x14ac:dyDescent="0.2">
      <c r="G111" s="1"/>
      <c r="H111" s="1"/>
      <c r="K111" s="1"/>
      <c r="V111" s="1"/>
      <c r="W111" s="1"/>
      <c r="X111" s="1"/>
      <c r="Y111" s="1"/>
    </row>
    <row r="112" spans="2:25" x14ac:dyDescent="0.2">
      <c r="G112" s="1"/>
      <c r="H112" s="1"/>
      <c r="K112" s="1"/>
      <c r="V112" s="1"/>
      <c r="W112" s="1"/>
      <c r="X112" s="1"/>
      <c r="Y112" s="1"/>
    </row>
    <row r="113" spans="2:25" x14ac:dyDescent="0.2">
      <c r="G113" s="1"/>
      <c r="H113" s="1"/>
      <c r="K113" s="1"/>
      <c r="V113" s="1"/>
      <c r="W113" s="1"/>
      <c r="X113" s="1"/>
      <c r="Y113" s="1"/>
    </row>
    <row r="114" spans="2:25" x14ac:dyDescent="0.2">
      <c r="G114" s="1"/>
      <c r="H114" s="1"/>
      <c r="K114" s="1"/>
      <c r="V114" s="1"/>
      <c r="W114" s="1"/>
      <c r="X114" s="1"/>
      <c r="Y114" s="1"/>
    </row>
    <row r="115" spans="2:25" x14ac:dyDescent="0.2">
      <c r="G115" s="1"/>
      <c r="H115" s="1"/>
      <c r="K115" s="1"/>
      <c r="V115" s="1"/>
      <c r="W115" s="1"/>
      <c r="X115" s="1"/>
      <c r="Y115" s="1"/>
    </row>
    <row r="116" spans="2:25" x14ac:dyDescent="0.2">
      <c r="G116" s="1"/>
      <c r="H116" s="1"/>
      <c r="K116" s="1"/>
      <c r="V116" s="1"/>
      <c r="W116" s="1"/>
      <c r="X116" s="1"/>
      <c r="Y116" s="1"/>
    </row>
    <row r="117" spans="2:25" x14ac:dyDescent="0.2">
      <c r="G117" s="1"/>
      <c r="H117" s="1"/>
      <c r="K117" s="1"/>
      <c r="V117" s="1"/>
      <c r="W117" s="1"/>
      <c r="X117" s="1"/>
      <c r="Y117" s="1"/>
    </row>
    <row r="118" spans="2:25" x14ac:dyDescent="0.2">
      <c r="G118" s="1"/>
      <c r="H118" s="1"/>
      <c r="K118" s="1"/>
      <c r="V118" s="1"/>
      <c r="W118" s="1"/>
      <c r="X118" s="1"/>
      <c r="Y118" s="1"/>
    </row>
    <row r="119" spans="2:25" x14ac:dyDescent="0.2">
      <c r="G119" s="1"/>
      <c r="H119" s="1"/>
      <c r="K119" s="1"/>
      <c r="V119" s="1"/>
      <c r="W119" s="1"/>
      <c r="X119" s="1"/>
      <c r="Y119" s="1"/>
    </row>
    <row r="120" spans="2:25" x14ac:dyDescent="0.2">
      <c r="G120" s="1"/>
      <c r="H120" s="1"/>
      <c r="K120" s="1"/>
      <c r="V120" s="1"/>
      <c r="W120" s="1"/>
      <c r="X120" s="1"/>
      <c r="Y120" s="1"/>
    </row>
    <row r="121" spans="2:25" x14ac:dyDescent="0.2">
      <c r="G121" s="1"/>
      <c r="H121" s="1"/>
      <c r="K121" s="1"/>
      <c r="V121" s="1"/>
      <c r="W121" s="1"/>
      <c r="X121" s="1"/>
      <c r="Y121" s="1"/>
    </row>
    <row r="122" spans="2:25" x14ac:dyDescent="0.2">
      <c r="G122" s="1"/>
      <c r="H122" s="1"/>
      <c r="K122" s="1"/>
      <c r="V122" s="1"/>
      <c r="W122" s="1"/>
      <c r="X122" s="1"/>
      <c r="Y122" s="1"/>
    </row>
    <row r="123" spans="2:25" x14ac:dyDescent="0.2">
      <c r="G123" s="1"/>
      <c r="H123" s="1"/>
      <c r="K123" s="1"/>
      <c r="V123" s="1"/>
      <c r="W123" s="1"/>
      <c r="X123" s="1"/>
      <c r="Y123" s="1"/>
    </row>
    <row r="124" spans="2:25" x14ac:dyDescent="0.2">
      <c r="G124" s="1"/>
      <c r="H124" s="1"/>
      <c r="K124" s="1"/>
      <c r="V124" s="1"/>
      <c r="W124" s="1"/>
      <c r="X124" s="1"/>
      <c r="Y124" s="1"/>
    </row>
    <row r="125" spans="2:25" x14ac:dyDescent="0.2">
      <c r="G125" s="1"/>
      <c r="H125" s="1"/>
      <c r="K125" s="1"/>
      <c r="V125" s="1"/>
      <c r="W125" s="1"/>
      <c r="X125" s="1"/>
      <c r="Y125" s="1"/>
    </row>
    <row r="128" spans="2:25" x14ac:dyDescent="0.2">
      <c r="B128" s="2"/>
      <c r="G128" s="1"/>
      <c r="H128" s="1"/>
      <c r="K128" s="1"/>
      <c r="V128" s="1"/>
      <c r="W128" s="1"/>
      <c r="X128" s="1"/>
      <c r="Y128" s="1"/>
    </row>
    <row r="129" spans="7:25" x14ac:dyDescent="0.2">
      <c r="G129" s="1"/>
      <c r="H129" s="1"/>
      <c r="K129" s="1"/>
      <c r="V129" s="1"/>
      <c r="W129" s="1"/>
      <c r="X129" s="1"/>
      <c r="Y129" s="1"/>
    </row>
    <row r="130" spans="7:25" x14ac:dyDescent="0.2">
      <c r="G130" s="1"/>
      <c r="H130" s="1"/>
      <c r="K130" s="1"/>
      <c r="V130" s="1"/>
      <c r="W130" s="1"/>
      <c r="X130" s="1"/>
      <c r="Y130" s="1"/>
    </row>
    <row r="131" spans="7:25" x14ac:dyDescent="0.2">
      <c r="G131" s="1"/>
      <c r="H131" s="1"/>
      <c r="K131" s="1"/>
      <c r="V131" s="1"/>
      <c r="W131" s="1"/>
      <c r="X131" s="1"/>
      <c r="Y131" s="1"/>
    </row>
    <row r="132" spans="7:25" x14ac:dyDescent="0.2">
      <c r="G132" s="1"/>
      <c r="H132" s="1"/>
      <c r="K132" s="1"/>
      <c r="V132" s="1"/>
      <c r="W132" s="1"/>
      <c r="X132" s="1"/>
      <c r="Y132" s="1"/>
    </row>
    <row r="133" spans="7:25" x14ac:dyDescent="0.2">
      <c r="G133" s="1"/>
      <c r="H133" s="1"/>
      <c r="K133" s="1"/>
      <c r="V133" s="1"/>
      <c r="W133" s="1"/>
      <c r="X133" s="1"/>
      <c r="Y133" s="1"/>
    </row>
    <row r="134" spans="7:25" x14ac:dyDescent="0.2">
      <c r="G134" s="1"/>
      <c r="H134" s="1"/>
      <c r="K134" s="1"/>
      <c r="V134" s="1"/>
      <c r="W134" s="1"/>
      <c r="X134" s="1"/>
      <c r="Y134" s="1"/>
    </row>
    <row r="135" spans="7:25" x14ac:dyDescent="0.2">
      <c r="G135" s="1"/>
      <c r="H135" s="1"/>
      <c r="K135" s="1"/>
      <c r="V135" s="1"/>
      <c r="W135" s="1"/>
      <c r="X135" s="1"/>
      <c r="Y135" s="1"/>
    </row>
    <row r="136" spans="7:25" x14ac:dyDescent="0.2">
      <c r="G136" s="1"/>
      <c r="H136" s="1"/>
      <c r="K136" s="1"/>
      <c r="V136" s="1"/>
      <c r="W136" s="1"/>
      <c r="X136" s="1"/>
      <c r="Y136" s="1"/>
    </row>
    <row r="137" spans="7:25" x14ac:dyDescent="0.2">
      <c r="G137" s="1"/>
      <c r="H137" s="1"/>
      <c r="K137" s="1"/>
      <c r="V137" s="1"/>
      <c r="W137" s="1"/>
      <c r="X137" s="1"/>
      <c r="Y137" s="1"/>
    </row>
    <row r="138" spans="7:25" x14ac:dyDescent="0.2">
      <c r="G138" s="1"/>
      <c r="H138" s="1"/>
      <c r="K138" s="1"/>
      <c r="V138" s="1"/>
      <c r="W138" s="1"/>
      <c r="X138" s="1"/>
      <c r="Y138" s="1"/>
    </row>
    <row r="139" spans="7:25" x14ac:dyDescent="0.2">
      <c r="G139" s="1"/>
      <c r="H139" s="1"/>
      <c r="K139" s="1"/>
      <c r="V139" s="1"/>
      <c r="W139" s="1"/>
      <c r="X139" s="1"/>
      <c r="Y139" s="1"/>
    </row>
    <row r="140" spans="7:25" x14ac:dyDescent="0.2">
      <c r="G140" s="1"/>
      <c r="H140" s="1"/>
      <c r="K140" s="1"/>
      <c r="V140" s="1"/>
      <c r="W140" s="1"/>
      <c r="X140" s="1"/>
      <c r="Y140" s="1"/>
    </row>
    <row r="141" spans="7:25" x14ac:dyDescent="0.2">
      <c r="G141" s="1"/>
      <c r="H141" s="1"/>
      <c r="K141" s="1"/>
      <c r="V141" s="1"/>
      <c r="W141" s="1"/>
      <c r="X141" s="1"/>
      <c r="Y141" s="1"/>
    </row>
    <row r="142" spans="7:25" x14ac:dyDescent="0.2">
      <c r="G142" s="1"/>
      <c r="H142" s="1"/>
      <c r="K142" s="1"/>
      <c r="V142" s="1"/>
      <c r="W142" s="1"/>
      <c r="X142" s="1"/>
      <c r="Y142" s="1"/>
    </row>
    <row r="143" spans="7:25" x14ac:dyDescent="0.2">
      <c r="G143" s="1"/>
      <c r="H143" s="1"/>
      <c r="K143" s="1"/>
      <c r="V143" s="1"/>
      <c r="W143" s="1"/>
      <c r="X143" s="1"/>
      <c r="Y143" s="1"/>
    </row>
    <row r="144" spans="7:25" x14ac:dyDescent="0.2">
      <c r="G144" s="1"/>
      <c r="H144" s="1"/>
      <c r="K144" s="1"/>
      <c r="V144" s="1"/>
      <c r="W144" s="1"/>
      <c r="X144" s="1"/>
      <c r="Y144" s="1"/>
    </row>
    <row r="145" spans="2:25" x14ac:dyDescent="0.2">
      <c r="G145" s="1"/>
      <c r="H145" s="1"/>
      <c r="K145" s="1"/>
      <c r="V145" s="1"/>
      <c r="W145" s="1"/>
      <c r="X145" s="1"/>
      <c r="Y145" s="1"/>
    </row>
    <row r="146" spans="2:25" x14ac:dyDescent="0.2">
      <c r="G146" s="1"/>
      <c r="H146" s="1"/>
      <c r="K146" s="1"/>
      <c r="V146" s="1"/>
      <c r="W146" s="1"/>
      <c r="X146" s="1"/>
      <c r="Y146" s="1"/>
    </row>
    <row r="147" spans="2:25" x14ac:dyDescent="0.2">
      <c r="G147" s="1"/>
      <c r="H147" s="1"/>
      <c r="K147" s="1"/>
      <c r="V147" s="1"/>
      <c r="W147" s="1"/>
      <c r="X147" s="1"/>
      <c r="Y147" s="1"/>
    </row>
    <row r="150" spans="2:25" x14ac:dyDescent="0.2">
      <c r="B150" s="2"/>
      <c r="G150" s="1"/>
      <c r="H150" s="1"/>
      <c r="K150" s="1"/>
      <c r="V150" s="1"/>
      <c r="W150" s="1"/>
      <c r="X150" s="1"/>
      <c r="Y150" s="1"/>
    </row>
    <row r="151" spans="2:25" x14ac:dyDescent="0.2">
      <c r="G151" s="1"/>
      <c r="H151" s="1"/>
      <c r="K151" s="1"/>
      <c r="V151" s="1"/>
      <c r="W151" s="1"/>
      <c r="X151" s="1"/>
      <c r="Y151" s="1"/>
    </row>
    <row r="152" spans="2:25" x14ac:dyDescent="0.2">
      <c r="G152" s="1"/>
      <c r="H152" s="1"/>
      <c r="K152" s="1"/>
      <c r="V152" s="1"/>
      <c r="W152" s="1"/>
      <c r="X152" s="1"/>
      <c r="Y152" s="1"/>
    </row>
    <row r="153" spans="2:25" x14ac:dyDescent="0.2">
      <c r="G153" s="1"/>
      <c r="H153" s="1"/>
      <c r="K153" s="1"/>
      <c r="V153" s="1"/>
      <c r="W153" s="1"/>
      <c r="X153" s="1"/>
      <c r="Y153" s="1"/>
    </row>
    <row r="154" spans="2:25" x14ac:dyDescent="0.2">
      <c r="G154" s="1"/>
      <c r="H154" s="1"/>
      <c r="K154" s="1"/>
      <c r="V154" s="1"/>
      <c r="W154" s="1"/>
      <c r="X154" s="1"/>
      <c r="Y154" s="1"/>
    </row>
    <row r="155" spans="2:25" x14ac:dyDescent="0.2">
      <c r="G155" s="1"/>
      <c r="H155" s="1"/>
      <c r="K155" s="1"/>
      <c r="V155" s="1"/>
      <c r="W155" s="1"/>
      <c r="X155" s="1"/>
      <c r="Y155" s="1"/>
    </row>
    <row r="156" spans="2:25" x14ac:dyDescent="0.2">
      <c r="G156" s="1"/>
      <c r="H156" s="1"/>
      <c r="K156" s="1"/>
      <c r="V156" s="1"/>
      <c r="W156" s="1"/>
      <c r="X156" s="1"/>
      <c r="Y156" s="1"/>
    </row>
    <row r="157" spans="2:25" x14ac:dyDescent="0.2">
      <c r="G157" s="1"/>
      <c r="H157" s="1"/>
      <c r="K157" s="1"/>
      <c r="V157" s="1"/>
      <c r="W157" s="1"/>
      <c r="X157" s="1"/>
      <c r="Y157" s="1"/>
    </row>
    <row r="158" spans="2:25" x14ac:dyDescent="0.2">
      <c r="G158" s="1"/>
      <c r="H158" s="1"/>
      <c r="K158" s="1"/>
      <c r="V158" s="1"/>
      <c r="W158" s="1"/>
      <c r="X158" s="1"/>
      <c r="Y158" s="1"/>
    </row>
    <row r="159" spans="2:25" x14ac:dyDescent="0.2">
      <c r="G159" s="1"/>
      <c r="H159" s="1"/>
      <c r="K159" s="1"/>
      <c r="V159" s="1"/>
      <c r="W159" s="1"/>
      <c r="X159" s="1"/>
      <c r="Y159" s="1"/>
    </row>
    <row r="160" spans="2:25" x14ac:dyDescent="0.2">
      <c r="G160" s="1"/>
      <c r="H160" s="1"/>
      <c r="K160" s="1"/>
      <c r="V160" s="1"/>
      <c r="W160" s="1"/>
      <c r="X160" s="1"/>
      <c r="Y160" s="1"/>
    </row>
    <row r="161" spans="2:25" x14ac:dyDescent="0.2">
      <c r="G161" s="1"/>
      <c r="H161" s="1"/>
      <c r="K161" s="1"/>
      <c r="V161" s="1"/>
      <c r="W161" s="1"/>
      <c r="X161" s="1"/>
      <c r="Y161" s="1"/>
    </row>
    <row r="162" spans="2:25" x14ac:dyDescent="0.2">
      <c r="G162" s="1"/>
      <c r="H162" s="1"/>
      <c r="K162" s="1"/>
      <c r="V162" s="1"/>
      <c r="W162" s="1"/>
      <c r="X162" s="1"/>
      <c r="Y162" s="1"/>
    </row>
    <row r="163" spans="2:25" x14ac:dyDescent="0.2">
      <c r="G163" s="1"/>
      <c r="H163" s="1"/>
      <c r="K163" s="1"/>
      <c r="V163" s="1"/>
      <c r="W163" s="1"/>
      <c r="X163" s="1"/>
      <c r="Y163" s="1"/>
    </row>
    <row r="164" spans="2:25" x14ac:dyDescent="0.2">
      <c r="G164" s="1"/>
      <c r="H164" s="1"/>
      <c r="K164" s="1"/>
      <c r="V164" s="1"/>
      <c r="W164" s="1"/>
      <c r="X164" s="1"/>
      <c r="Y164" s="1"/>
    </row>
    <row r="165" spans="2:25" x14ac:dyDescent="0.2">
      <c r="G165" s="1"/>
      <c r="H165" s="1"/>
      <c r="K165" s="1"/>
      <c r="V165" s="1"/>
      <c r="W165" s="1"/>
      <c r="X165" s="1"/>
      <c r="Y165" s="1"/>
    </row>
    <row r="166" spans="2:25" x14ac:dyDescent="0.2">
      <c r="G166" s="1"/>
      <c r="H166" s="1"/>
      <c r="K166" s="1"/>
      <c r="V166" s="1"/>
      <c r="W166" s="1"/>
      <c r="X166" s="1"/>
      <c r="Y166" s="1"/>
    </row>
    <row r="167" spans="2:25" x14ac:dyDescent="0.2">
      <c r="G167" s="1"/>
      <c r="H167" s="1"/>
      <c r="K167" s="1"/>
      <c r="V167" s="1"/>
      <c r="W167" s="1"/>
      <c r="X167" s="1"/>
      <c r="Y167" s="1"/>
    </row>
    <row r="168" spans="2:25" x14ac:dyDescent="0.2">
      <c r="G168" s="1"/>
      <c r="H168" s="1"/>
      <c r="K168" s="1"/>
      <c r="V168" s="1"/>
      <c r="W168" s="1"/>
      <c r="X168" s="1"/>
      <c r="Y168" s="1"/>
    </row>
    <row r="172" spans="2:25" x14ac:dyDescent="0.2">
      <c r="B172" s="2"/>
      <c r="G172" s="1"/>
      <c r="H172" s="1"/>
      <c r="K172" s="1"/>
      <c r="V172" s="1"/>
      <c r="W172" s="1"/>
      <c r="X172" s="1"/>
      <c r="Y172" s="1"/>
    </row>
    <row r="173" spans="2:25" x14ac:dyDescent="0.2">
      <c r="G173" s="1"/>
      <c r="H173" s="1"/>
      <c r="K173" s="1"/>
      <c r="V173" s="1"/>
      <c r="W173" s="1"/>
      <c r="X173" s="1"/>
      <c r="Y173" s="1"/>
    </row>
    <row r="174" spans="2:25" x14ac:dyDescent="0.2">
      <c r="G174" s="1"/>
      <c r="H174" s="1"/>
      <c r="K174" s="1"/>
      <c r="V174" s="1"/>
      <c r="W174" s="1"/>
      <c r="X174" s="1"/>
      <c r="Y174" s="1"/>
    </row>
    <row r="175" spans="2:25" x14ac:dyDescent="0.2">
      <c r="G175" s="1"/>
      <c r="H175" s="1"/>
      <c r="K175" s="1"/>
      <c r="V175" s="1"/>
      <c r="W175" s="1"/>
      <c r="X175" s="1"/>
      <c r="Y175" s="1"/>
    </row>
    <row r="176" spans="2:25" x14ac:dyDescent="0.2">
      <c r="G176" s="1"/>
      <c r="H176" s="1"/>
      <c r="K176" s="1"/>
      <c r="V176" s="1"/>
      <c r="W176" s="1"/>
      <c r="X176" s="1"/>
      <c r="Y176" s="1"/>
    </row>
    <row r="177" spans="7:25" x14ac:dyDescent="0.2">
      <c r="G177" s="1"/>
      <c r="H177" s="1"/>
      <c r="K177" s="1"/>
      <c r="V177" s="1"/>
      <c r="W177" s="1"/>
      <c r="X177" s="1"/>
      <c r="Y177" s="1"/>
    </row>
    <row r="178" spans="7:25" x14ac:dyDescent="0.2">
      <c r="G178" s="1"/>
      <c r="H178" s="1"/>
      <c r="K178" s="1"/>
      <c r="V178" s="1"/>
      <c r="W178" s="1"/>
      <c r="X178" s="1"/>
      <c r="Y178" s="1"/>
    </row>
    <row r="179" spans="7:25" x14ac:dyDescent="0.2">
      <c r="G179" s="1"/>
      <c r="H179" s="1"/>
      <c r="K179" s="1"/>
      <c r="V179" s="1"/>
      <c r="W179" s="1"/>
      <c r="X179" s="1"/>
      <c r="Y179" s="1"/>
    </row>
    <row r="180" spans="7:25" x14ac:dyDescent="0.2">
      <c r="G180" s="1"/>
      <c r="H180" s="1"/>
      <c r="K180" s="1"/>
      <c r="V180" s="1"/>
      <c r="W180" s="1"/>
      <c r="X180" s="1"/>
      <c r="Y180" s="1"/>
    </row>
    <row r="181" spans="7:25" x14ac:dyDescent="0.2">
      <c r="G181" s="1"/>
      <c r="H181" s="1"/>
      <c r="K181" s="1"/>
      <c r="V181" s="1"/>
      <c r="W181" s="1"/>
      <c r="X181" s="1"/>
      <c r="Y181" s="1"/>
    </row>
    <row r="182" spans="7:25" x14ac:dyDescent="0.2">
      <c r="G182" s="1"/>
      <c r="H182" s="1"/>
      <c r="K182" s="1"/>
      <c r="V182" s="1"/>
      <c r="W182" s="1"/>
      <c r="X182" s="1"/>
      <c r="Y182" s="1"/>
    </row>
    <row r="183" spans="7:25" x14ac:dyDescent="0.2">
      <c r="G183" s="1"/>
      <c r="H183" s="1"/>
      <c r="K183" s="1"/>
      <c r="V183" s="1"/>
      <c r="W183" s="1"/>
      <c r="X183" s="1"/>
      <c r="Y183" s="1"/>
    </row>
    <row r="184" spans="7:25" x14ac:dyDescent="0.2">
      <c r="G184" s="1"/>
      <c r="H184" s="1"/>
      <c r="K184" s="1"/>
      <c r="V184" s="1"/>
      <c r="W184" s="1"/>
      <c r="X184" s="1"/>
      <c r="Y184" s="1"/>
    </row>
    <row r="185" spans="7:25" x14ac:dyDescent="0.2">
      <c r="G185" s="1"/>
      <c r="H185" s="1"/>
      <c r="K185" s="1"/>
      <c r="V185" s="1"/>
      <c r="W185" s="1"/>
      <c r="X185" s="1"/>
      <c r="Y185" s="1"/>
    </row>
    <row r="186" spans="7:25" x14ac:dyDescent="0.2">
      <c r="G186" s="1"/>
      <c r="H186" s="1"/>
      <c r="K186" s="1"/>
      <c r="V186" s="1"/>
      <c r="W186" s="1"/>
      <c r="X186" s="1"/>
      <c r="Y186" s="1"/>
    </row>
    <row r="187" spans="7:25" x14ac:dyDescent="0.2">
      <c r="G187" s="1"/>
      <c r="H187" s="1"/>
      <c r="K187" s="1"/>
      <c r="V187" s="1"/>
      <c r="W187" s="1"/>
      <c r="X187" s="1"/>
      <c r="Y187" s="1"/>
    </row>
    <row r="188" spans="7:25" x14ac:dyDescent="0.2">
      <c r="G188" s="1"/>
      <c r="H188" s="1"/>
      <c r="K188" s="1"/>
      <c r="V188" s="1"/>
      <c r="W188" s="1"/>
      <c r="X188" s="1"/>
      <c r="Y188" s="1"/>
    </row>
    <row r="189" spans="7:25" x14ac:dyDescent="0.2">
      <c r="G189" s="1"/>
      <c r="H189" s="1"/>
      <c r="K189" s="1"/>
      <c r="V189" s="1"/>
      <c r="W189" s="1"/>
      <c r="X189" s="1"/>
      <c r="Y189" s="1"/>
    </row>
    <row r="190" spans="7:25" x14ac:dyDescent="0.2">
      <c r="G190" s="1"/>
      <c r="H190" s="1"/>
      <c r="K190" s="1"/>
      <c r="V190" s="1"/>
      <c r="W190" s="1"/>
      <c r="X190" s="1"/>
      <c r="Y190" s="1"/>
    </row>
    <row r="194" spans="2:25" x14ac:dyDescent="0.2">
      <c r="B194" s="2"/>
      <c r="G194" s="1"/>
      <c r="H194" s="1"/>
      <c r="K194" s="1"/>
      <c r="V194" s="1"/>
      <c r="W194" s="1"/>
      <c r="X194" s="1"/>
      <c r="Y194" s="1"/>
    </row>
    <row r="195" spans="2:25" x14ac:dyDescent="0.2">
      <c r="G195" s="1"/>
      <c r="H195" s="1"/>
      <c r="K195" s="1"/>
      <c r="V195" s="1"/>
      <c r="W195" s="1"/>
      <c r="X195" s="1"/>
      <c r="Y195" s="1"/>
    </row>
    <row r="196" spans="2:25" x14ac:dyDescent="0.2">
      <c r="G196" s="1"/>
      <c r="H196" s="1"/>
      <c r="K196" s="1"/>
      <c r="V196" s="1"/>
      <c r="W196" s="1"/>
      <c r="X196" s="1"/>
      <c r="Y196" s="1"/>
    </row>
    <row r="197" spans="2:25" x14ac:dyDescent="0.2">
      <c r="G197" s="1"/>
      <c r="H197" s="1"/>
      <c r="K197" s="1"/>
      <c r="V197" s="1"/>
      <c r="W197" s="1"/>
      <c r="X197" s="1"/>
      <c r="Y197" s="1"/>
    </row>
    <row r="198" spans="2:25" x14ac:dyDescent="0.2">
      <c r="G198" s="1"/>
      <c r="H198" s="1"/>
      <c r="K198" s="1"/>
      <c r="V198" s="1"/>
      <c r="W198" s="1"/>
      <c r="X198" s="1"/>
      <c r="Y198" s="1"/>
    </row>
    <row r="199" spans="2:25" x14ac:dyDescent="0.2">
      <c r="G199" s="1"/>
      <c r="H199" s="1"/>
      <c r="K199" s="1"/>
      <c r="V199" s="1"/>
      <c r="W199" s="1"/>
      <c r="X199" s="1"/>
      <c r="Y199" s="1"/>
    </row>
    <row r="200" spans="2:25" x14ac:dyDescent="0.2">
      <c r="G200" s="1"/>
      <c r="H200" s="1"/>
      <c r="K200" s="1"/>
      <c r="V200" s="1"/>
      <c r="W200" s="1"/>
      <c r="X200" s="1"/>
      <c r="Y200" s="1"/>
    </row>
    <row r="201" spans="2:25" x14ac:dyDescent="0.2">
      <c r="G201" s="1"/>
      <c r="H201" s="1"/>
      <c r="K201" s="1"/>
      <c r="V201" s="1"/>
      <c r="W201" s="1"/>
      <c r="X201" s="1"/>
      <c r="Y201" s="1"/>
    </row>
    <row r="202" spans="2:25" x14ac:dyDescent="0.2">
      <c r="G202" s="1"/>
      <c r="H202" s="1"/>
      <c r="K202" s="1"/>
      <c r="V202" s="1"/>
      <c r="W202" s="1"/>
      <c r="X202" s="1"/>
      <c r="Y202" s="1"/>
    </row>
    <row r="203" spans="2:25" x14ac:dyDescent="0.2">
      <c r="G203" s="1"/>
      <c r="H203" s="1"/>
      <c r="K203" s="1"/>
      <c r="V203" s="1"/>
      <c r="W203" s="1"/>
      <c r="X203" s="1"/>
      <c r="Y203" s="1"/>
    </row>
    <row r="204" spans="2:25" x14ac:dyDescent="0.2">
      <c r="G204" s="1"/>
      <c r="H204" s="1"/>
      <c r="K204" s="1"/>
      <c r="V204" s="1"/>
      <c r="W204" s="1"/>
      <c r="X204" s="1"/>
      <c r="Y204" s="1"/>
    </row>
    <row r="205" spans="2:25" x14ac:dyDescent="0.2">
      <c r="G205" s="1"/>
      <c r="H205" s="1"/>
      <c r="K205" s="1"/>
      <c r="V205" s="1"/>
      <c r="W205" s="1"/>
      <c r="X205" s="1"/>
      <c r="Y205" s="1"/>
    </row>
    <row r="206" spans="2:25" x14ac:dyDescent="0.2">
      <c r="G206" s="1"/>
      <c r="H206" s="1"/>
      <c r="K206" s="1"/>
      <c r="V206" s="1"/>
      <c r="W206" s="1"/>
      <c r="X206" s="1"/>
      <c r="Y206" s="1"/>
    </row>
    <row r="207" spans="2:25" x14ac:dyDescent="0.2">
      <c r="G207" s="1"/>
      <c r="H207" s="1"/>
      <c r="K207" s="1"/>
      <c r="V207" s="1"/>
      <c r="W207" s="1"/>
      <c r="X207" s="1"/>
      <c r="Y207" s="1"/>
    </row>
    <row r="208" spans="2:25" x14ac:dyDescent="0.2">
      <c r="G208" s="1"/>
      <c r="H208" s="1"/>
      <c r="K208" s="1"/>
      <c r="V208" s="1"/>
      <c r="W208" s="1"/>
      <c r="X208" s="1"/>
      <c r="Y208" s="1"/>
    </row>
    <row r="209" spans="2:25" x14ac:dyDescent="0.2">
      <c r="G209" s="1"/>
      <c r="H209" s="1"/>
      <c r="K209" s="1"/>
      <c r="V209" s="1"/>
      <c r="W209" s="1"/>
      <c r="X209" s="1"/>
      <c r="Y209" s="1"/>
    </row>
    <row r="210" spans="2:25" x14ac:dyDescent="0.2">
      <c r="G210" s="1"/>
      <c r="H210" s="1"/>
      <c r="K210" s="1"/>
      <c r="V210" s="1"/>
      <c r="W210" s="1"/>
      <c r="X210" s="1"/>
      <c r="Y210" s="1"/>
    </row>
    <row r="211" spans="2:25" x14ac:dyDescent="0.2">
      <c r="G211" s="1"/>
      <c r="H211" s="1"/>
      <c r="K211" s="1"/>
      <c r="V211" s="1"/>
      <c r="W211" s="1"/>
      <c r="X211" s="1"/>
      <c r="Y211" s="1"/>
    </row>
    <row r="212" spans="2:25" x14ac:dyDescent="0.2">
      <c r="G212" s="1"/>
      <c r="H212" s="1"/>
      <c r="K212" s="1"/>
      <c r="V212" s="1"/>
      <c r="W212" s="1"/>
      <c r="X212" s="1"/>
      <c r="Y212" s="1"/>
    </row>
    <row r="216" spans="2:25" x14ac:dyDescent="0.2">
      <c r="B216" s="2"/>
      <c r="G216" s="1"/>
      <c r="H216" s="1"/>
      <c r="K216" s="1"/>
      <c r="V216" s="1"/>
      <c r="W216" s="1"/>
      <c r="X216" s="1"/>
      <c r="Y216" s="1"/>
    </row>
    <row r="217" spans="2:25" x14ac:dyDescent="0.2">
      <c r="G217" s="1"/>
      <c r="H217" s="1"/>
      <c r="K217" s="1"/>
      <c r="V217" s="1"/>
      <c r="W217" s="1"/>
      <c r="X217" s="1"/>
      <c r="Y217" s="1"/>
    </row>
    <row r="218" spans="2:25" x14ac:dyDescent="0.2">
      <c r="G218" s="1"/>
      <c r="H218" s="1"/>
      <c r="K218" s="1"/>
      <c r="V218" s="1"/>
      <c r="W218" s="1"/>
      <c r="X218" s="1"/>
      <c r="Y218" s="1"/>
    </row>
    <row r="219" spans="2:25" x14ac:dyDescent="0.2">
      <c r="G219" s="1"/>
      <c r="H219" s="1"/>
      <c r="K219" s="1"/>
      <c r="V219" s="1"/>
      <c r="W219" s="1"/>
      <c r="X219" s="1"/>
      <c r="Y219" s="1"/>
    </row>
    <row r="220" spans="2:25" x14ac:dyDescent="0.2">
      <c r="G220" s="1"/>
      <c r="H220" s="1"/>
      <c r="K220" s="1"/>
      <c r="V220" s="1"/>
      <c r="W220" s="1"/>
      <c r="X220" s="1"/>
      <c r="Y220" s="1"/>
    </row>
    <row r="221" spans="2:25" x14ac:dyDescent="0.2">
      <c r="G221" s="1"/>
      <c r="H221" s="1"/>
      <c r="K221" s="1"/>
      <c r="V221" s="1"/>
      <c r="W221" s="1"/>
      <c r="X221" s="1"/>
      <c r="Y221" s="1"/>
    </row>
    <row r="222" spans="2:25" x14ac:dyDescent="0.2">
      <c r="G222" s="1"/>
      <c r="H222" s="1"/>
      <c r="K222" s="1"/>
      <c r="V222" s="1"/>
      <c r="W222" s="1"/>
      <c r="X222" s="1"/>
      <c r="Y222" s="1"/>
    </row>
    <row r="223" spans="2:25" x14ac:dyDescent="0.2">
      <c r="G223" s="1"/>
      <c r="H223" s="1"/>
      <c r="K223" s="1"/>
      <c r="V223" s="1"/>
      <c r="W223" s="1"/>
      <c r="X223" s="1"/>
      <c r="Y223" s="1"/>
    </row>
    <row r="224" spans="2:25" x14ac:dyDescent="0.2">
      <c r="G224" s="1"/>
      <c r="H224" s="1"/>
      <c r="K224" s="1"/>
      <c r="V224" s="1"/>
      <c r="W224" s="1"/>
      <c r="X224" s="1"/>
      <c r="Y224" s="1"/>
    </row>
    <row r="225" spans="7:25" x14ac:dyDescent="0.2">
      <c r="G225" s="1"/>
      <c r="H225" s="1"/>
      <c r="K225" s="1"/>
      <c r="V225" s="1"/>
      <c r="W225" s="1"/>
      <c r="X225" s="1"/>
      <c r="Y225" s="1"/>
    </row>
    <row r="226" spans="7:25" x14ac:dyDescent="0.2">
      <c r="G226" s="1"/>
      <c r="H226" s="1"/>
      <c r="K226" s="1"/>
      <c r="V226" s="1"/>
      <c r="W226" s="1"/>
      <c r="X226" s="1"/>
      <c r="Y226" s="1"/>
    </row>
    <row r="227" spans="7:25" x14ac:dyDescent="0.2">
      <c r="G227" s="1"/>
      <c r="H227" s="1"/>
      <c r="K227" s="1"/>
      <c r="V227" s="1"/>
      <c r="W227" s="1"/>
      <c r="X227" s="1"/>
      <c r="Y227" s="1"/>
    </row>
    <row r="228" spans="7:25" x14ac:dyDescent="0.2">
      <c r="G228" s="1"/>
      <c r="H228" s="1"/>
      <c r="K228" s="1"/>
      <c r="V228" s="1"/>
      <c r="W228" s="1"/>
      <c r="X228" s="1"/>
      <c r="Y228" s="1"/>
    </row>
    <row r="229" spans="7:25" x14ac:dyDescent="0.2">
      <c r="G229" s="1"/>
      <c r="H229" s="1"/>
      <c r="K229" s="1"/>
      <c r="V229" s="1"/>
      <c r="W229" s="1"/>
      <c r="X229" s="1"/>
      <c r="Y229" s="1"/>
    </row>
    <row r="230" spans="7:25" x14ac:dyDescent="0.2">
      <c r="G230" s="1"/>
      <c r="H230" s="1"/>
      <c r="K230" s="1"/>
      <c r="V230" s="1"/>
      <c r="W230" s="1"/>
      <c r="X230" s="1"/>
      <c r="Y230" s="1"/>
    </row>
    <row r="231" spans="7:25" x14ac:dyDescent="0.2">
      <c r="G231" s="1"/>
      <c r="H231" s="1"/>
      <c r="K231" s="1"/>
      <c r="V231" s="1"/>
      <c r="W231" s="1"/>
      <c r="X231" s="1"/>
      <c r="Y231" s="1"/>
    </row>
    <row r="232" spans="7:25" x14ac:dyDescent="0.2">
      <c r="G232" s="1"/>
      <c r="H232" s="1"/>
      <c r="K232" s="1"/>
      <c r="V232" s="1"/>
      <c r="W232" s="1"/>
      <c r="X232" s="1"/>
      <c r="Y232" s="1"/>
    </row>
    <row r="233" spans="7:25" x14ac:dyDescent="0.2">
      <c r="G233" s="1"/>
      <c r="H233" s="1"/>
      <c r="K233" s="1"/>
      <c r="V233" s="1"/>
      <c r="W233" s="1"/>
      <c r="X233" s="1"/>
      <c r="Y233" s="1"/>
    </row>
    <row r="234" spans="7:25" x14ac:dyDescent="0.2">
      <c r="G234" s="1"/>
      <c r="H234" s="1"/>
      <c r="K234" s="1"/>
      <c r="V234" s="1"/>
      <c r="W234" s="1"/>
      <c r="X234" s="1"/>
      <c r="Y234" s="1"/>
    </row>
  </sheetData>
  <phoneticPr fontId="1" type="noConversion"/>
  <dataValidations count="1">
    <dataValidation type="list" allowBlank="1" showInputMessage="1" showErrorMessage="1" sqref="C11">
      <formula1>$Y$36:$Y$66</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6" workbookViewId="0">
      <selection activeCell="B39" sqref="B39"/>
    </sheetView>
  </sheetViews>
  <sheetFormatPr defaultColWidth="10.28515625" defaultRowHeight="12.75" x14ac:dyDescent="0.2"/>
  <cols>
    <col min="1" max="1" width="14.42578125" style="3" customWidth="1"/>
    <col min="2" max="2" width="16.7109375" style="3" customWidth="1"/>
    <col min="3" max="3" width="14.7109375" style="3" customWidth="1"/>
    <col min="4" max="4" width="8.28515625" style="3" customWidth="1"/>
    <col min="5" max="5" width="12.28515625" style="3" customWidth="1"/>
    <col min="6" max="6" width="11.28515625" style="3" customWidth="1"/>
    <col min="7" max="7" width="11.7109375" style="3" customWidth="1"/>
    <col min="8" max="8" width="6.7109375" style="4" customWidth="1"/>
    <col min="9" max="9" width="6.28515625" style="4" customWidth="1"/>
    <col min="10" max="10" width="6.5703125" style="4" customWidth="1"/>
    <col min="11" max="11" width="6.28515625" style="4" customWidth="1"/>
    <col min="12" max="12" width="10.140625" style="4" customWidth="1"/>
    <col min="13" max="13" width="7.42578125" style="4" customWidth="1"/>
    <col min="14" max="14" width="8.28515625" style="4" customWidth="1"/>
    <col min="15" max="16384" width="10.28515625" style="3"/>
  </cols>
  <sheetData>
    <row r="1" spans="1:14" x14ac:dyDescent="0.2">
      <c r="A1" s="48" t="s">
        <v>438</v>
      </c>
      <c r="B1" s="48"/>
      <c r="C1" s="48"/>
      <c r="D1" s="50" t="s">
        <v>439</v>
      </c>
      <c r="E1" s="48"/>
      <c r="F1" s="48"/>
      <c r="G1" s="48"/>
      <c r="H1" s="49"/>
      <c r="I1" s="49"/>
      <c r="J1" s="49"/>
      <c r="K1" s="49"/>
      <c r="L1" s="49"/>
    </row>
    <row r="2" spans="1:14" x14ac:dyDescent="0.2">
      <c r="A2" s="48" t="s">
        <v>441</v>
      </c>
      <c r="B2" s="48"/>
      <c r="C2" s="48"/>
      <c r="D2" s="50" t="s">
        <v>440</v>
      </c>
      <c r="E2" s="48"/>
      <c r="F2" s="48"/>
      <c r="G2" s="48"/>
      <c r="H2" s="49"/>
      <c r="I2" s="49"/>
      <c r="J2" s="49"/>
      <c r="K2" s="49"/>
      <c r="L2" s="49"/>
    </row>
    <row r="4" spans="1:14" x14ac:dyDescent="0.2">
      <c r="A4" s="3" t="s">
        <v>442</v>
      </c>
    </row>
    <row r="5" spans="1:14" x14ac:dyDescent="0.2">
      <c r="A5" s="3" t="s">
        <v>29</v>
      </c>
    </row>
    <row r="6" spans="1:14" s="6" customFormat="1" ht="27.75" x14ac:dyDescent="0.4">
      <c r="A6" s="5" t="s">
        <v>30</v>
      </c>
      <c r="H6" s="7"/>
      <c r="I6" s="7"/>
      <c r="J6" s="7"/>
      <c r="K6" s="7"/>
      <c r="L6" s="7"/>
      <c r="M6" s="7"/>
      <c r="N6" s="7"/>
    </row>
    <row r="7" spans="1:14" ht="9.6" customHeight="1" x14ac:dyDescent="0.3">
      <c r="A7" s="8"/>
    </row>
    <row r="8" spans="1:14" s="10" customFormat="1" ht="16.149999999999999" customHeight="1" x14ac:dyDescent="0.2">
      <c r="A8" s="9" t="s">
        <v>31</v>
      </c>
      <c r="B8" s="9" t="s">
        <v>32</v>
      </c>
      <c r="C8" s="10" t="s">
        <v>32</v>
      </c>
      <c r="D8" s="9" t="s">
        <v>33</v>
      </c>
      <c r="H8" s="11" t="s">
        <v>34</v>
      </c>
      <c r="I8" s="12"/>
      <c r="J8" s="12"/>
      <c r="K8" s="12"/>
      <c r="L8" s="12"/>
      <c r="M8" s="12"/>
      <c r="N8" s="12"/>
    </row>
    <row r="9" spans="1:14" s="13" customFormat="1" x14ac:dyDescent="0.2">
      <c r="A9" s="13" t="s">
        <v>35</v>
      </c>
      <c r="B9" s="14" t="s">
        <v>36</v>
      </c>
      <c r="C9" s="14" t="s">
        <v>37</v>
      </c>
      <c r="D9" s="14" t="s">
        <v>38</v>
      </c>
      <c r="E9" s="14" t="s">
        <v>39</v>
      </c>
      <c r="F9" s="14" t="s">
        <v>40</v>
      </c>
      <c r="G9" s="14" t="s">
        <v>41</v>
      </c>
      <c r="H9" s="15" t="s">
        <v>42</v>
      </c>
      <c r="I9" s="15" t="s">
        <v>43</v>
      </c>
      <c r="J9" s="16" t="s">
        <v>44</v>
      </c>
      <c r="K9" s="15" t="s">
        <v>45</v>
      </c>
      <c r="L9" s="15" t="s">
        <v>46</v>
      </c>
      <c r="M9" s="15" t="s">
        <v>47</v>
      </c>
      <c r="N9" s="15" t="s">
        <v>48</v>
      </c>
    </row>
    <row r="10" spans="1:14" x14ac:dyDescent="0.2">
      <c r="A10" s="17" t="s">
        <v>49</v>
      </c>
      <c r="B10" s="17" t="s">
        <v>437</v>
      </c>
      <c r="C10" s="17" t="s">
        <v>50</v>
      </c>
      <c r="E10" s="17" t="s">
        <v>51</v>
      </c>
      <c r="F10" s="17" t="s">
        <v>52</v>
      </c>
    </row>
    <row r="11" spans="1:14" x14ac:dyDescent="0.2">
      <c r="A11" s="17" t="s">
        <v>53</v>
      </c>
      <c r="B11" s="17" t="s">
        <v>54</v>
      </c>
      <c r="C11" s="3" t="s">
        <v>55</v>
      </c>
      <c r="E11" s="17" t="s">
        <v>56</v>
      </c>
      <c r="F11" s="17" t="s">
        <v>57</v>
      </c>
    </row>
    <row r="12" spans="1:14" x14ac:dyDescent="0.2">
      <c r="A12" s="17" t="s">
        <v>58</v>
      </c>
      <c r="B12" s="17" t="s">
        <v>59</v>
      </c>
      <c r="C12" s="17" t="s">
        <v>60</v>
      </c>
      <c r="E12" s="17" t="s">
        <v>61</v>
      </c>
      <c r="F12" s="17" t="s">
        <v>62</v>
      </c>
      <c r="G12" s="17" t="s">
        <v>63</v>
      </c>
    </row>
    <row r="13" spans="1:14" x14ac:dyDescent="0.2">
      <c r="A13" s="17" t="s">
        <v>64</v>
      </c>
      <c r="B13" s="17" t="s">
        <v>65</v>
      </c>
      <c r="C13" s="17" t="s">
        <v>66</v>
      </c>
      <c r="E13" s="17" t="s">
        <v>67</v>
      </c>
      <c r="F13" s="17" t="s">
        <v>68</v>
      </c>
      <c r="G13" s="17" t="s">
        <v>69</v>
      </c>
    </row>
    <row r="14" spans="1:14" x14ac:dyDescent="0.2">
      <c r="A14" s="17" t="s">
        <v>70</v>
      </c>
      <c r="B14" s="17" t="s">
        <v>71</v>
      </c>
      <c r="C14" s="17" t="s">
        <v>72</v>
      </c>
      <c r="E14" s="17" t="s">
        <v>73</v>
      </c>
      <c r="F14" s="17" t="s">
        <v>74</v>
      </c>
      <c r="G14" s="17" t="s">
        <v>75</v>
      </c>
    </row>
    <row r="15" spans="1:14" x14ac:dyDescent="0.2">
      <c r="A15" s="17" t="s">
        <v>76</v>
      </c>
      <c r="B15" s="17" t="s">
        <v>77</v>
      </c>
      <c r="C15" s="17" t="s">
        <v>78</v>
      </c>
      <c r="E15" s="17" t="s">
        <v>79</v>
      </c>
      <c r="F15" s="17" t="s">
        <v>80</v>
      </c>
      <c r="G15" s="17" t="s">
        <v>81</v>
      </c>
      <c r="J15" s="18" t="s">
        <v>82</v>
      </c>
    </row>
    <row r="16" spans="1:14" x14ac:dyDescent="0.2">
      <c r="A16" s="17" t="s">
        <v>83</v>
      </c>
      <c r="B16" s="17" t="s">
        <v>84</v>
      </c>
      <c r="C16" s="17" t="s">
        <v>85</v>
      </c>
      <c r="E16" s="17" t="s">
        <v>86</v>
      </c>
      <c r="F16" s="17" t="s">
        <v>87</v>
      </c>
      <c r="G16" s="17" t="s">
        <v>88</v>
      </c>
    </row>
    <row r="17" spans="1:14" x14ac:dyDescent="0.2">
      <c r="A17" s="17" t="s">
        <v>89</v>
      </c>
      <c r="B17" s="17" t="s">
        <v>90</v>
      </c>
      <c r="C17" s="17" t="s">
        <v>91</v>
      </c>
      <c r="D17" s="17" t="s">
        <v>92</v>
      </c>
      <c r="E17" s="17" t="s">
        <v>93</v>
      </c>
      <c r="F17" s="17" t="s">
        <v>94</v>
      </c>
      <c r="G17" s="17" t="s">
        <v>95</v>
      </c>
      <c r="H17" s="18" t="s">
        <v>96</v>
      </c>
      <c r="J17" s="4" t="s">
        <v>96</v>
      </c>
      <c r="K17" s="4" t="s">
        <v>96</v>
      </c>
      <c r="L17" s="4" t="s">
        <v>96</v>
      </c>
      <c r="M17" s="18" t="s">
        <v>97</v>
      </c>
      <c r="N17" s="18" t="s">
        <v>96</v>
      </c>
    </row>
    <row r="18" spans="1:14" x14ac:dyDescent="0.2">
      <c r="A18" s="17" t="s">
        <v>98</v>
      </c>
      <c r="B18" s="17" t="s">
        <v>99</v>
      </c>
      <c r="C18" s="17" t="s">
        <v>100</v>
      </c>
      <c r="D18" s="17" t="s">
        <v>101</v>
      </c>
      <c r="E18" s="17" t="s">
        <v>102</v>
      </c>
      <c r="F18" s="17" t="s">
        <v>103</v>
      </c>
      <c r="M18" s="18" t="s">
        <v>104</v>
      </c>
    </row>
    <row r="19" spans="1:14" x14ac:dyDescent="0.2">
      <c r="A19" s="17" t="s">
        <v>105</v>
      </c>
      <c r="B19" s="17" t="s">
        <v>106</v>
      </c>
      <c r="C19" s="17" t="s">
        <v>107</v>
      </c>
      <c r="D19" s="17" t="s">
        <v>108</v>
      </c>
      <c r="E19" s="17" t="s">
        <v>109</v>
      </c>
      <c r="F19" s="17" t="s">
        <v>110</v>
      </c>
      <c r="G19" s="17" t="s">
        <v>111</v>
      </c>
      <c r="K19" s="18" t="s">
        <v>112</v>
      </c>
      <c r="L19" s="4" t="s">
        <v>113</v>
      </c>
    </row>
    <row r="20" spans="1:14" x14ac:dyDescent="0.2">
      <c r="A20" s="17" t="s">
        <v>114</v>
      </c>
      <c r="B20" s="17" t="s">
        <v>115</v>
      </c>
      <c r="C20" s="17" t="s">
        <v>116</v>
      </c>
      <c r="D20" s="17" t="s">
        <v>117</v>
      </c>
      <c r="E20" s="17" t="s">
        <v>118</v>
      </c>
      <c r="F20" s="17" t="s">
        <v>119</v>
      </c>
      <c r="G20" s="17" t="s">
        <v>120</v>
      </c>
    </row>
    <row r="21" spans="1:14" x14ac:dyDescent="0.2">
      <c r="A21" s="17" t="s">
        <v>121</v>
      </c>
      <c r="B21" s="17" t="s">
        <v>122</v>
      </c>
      <c r="C21" s="17" t="s">
        <v>123</v>
      </c>
      <c r="D21" s="17" t="s">
        <v>124</v>
      </c>
      <c r="E21" s="17" t="s">
        <v>125</v>
      </c>
      <c r="F21" s="17" t="s">
        <v>126</v>
      </c>
      <c r="G21" s="17" t="s">
        <v>127</v>
      </c>
      <c r="H21" s="18" t="s">
        <v>128</v>
      </c>
      <c r="I21" s="18" t="s">
        <v>96</v>
      </c>
      <c r="J21" s="18" t="s">
        <v>128</v>
      </c>
      <c r="K21" s="18" t="s">
        <v>128</v>
      </c>
      <c r="L21" s="18" t="s">
        <v>128</v>
      </c>
      <c r="M21" s="18" t="s">
        <v>129</v>
      </c>
      <c r="N21" s="18" t="s">
        <v>128</v>
      </c>
    </row>
    <row r="22" spans="1:14" x14ac:dyDescent="0.2">
      <c r="A22" s="17" t="s">
        <v>130</v>
      </c>
      <c r="B22" s="17" t="s">
        <v>131</v>
      </c>
      <c r="C22" s="17" t="s">
        <v>132</v>
      </c>
      <c r="D22" s="17" t="s">
        <v>133</v>
      </c>
      <c r="E22" s="17" t="s">
        <v>134</v>
      </c>
      <c r="F22" s="17" t="s">
        <v>135</v>
      </c>
      <c r="L22" s="18" t="s">
        <v>136</v>
      </c>
    </row>
    <row r="23" spans="1:14" x14ac:dyDescent="0.2">
      <c r="A23" s="17" t="s">
        <v>137</v>
      </c>
      <c r="B23" s="17" t="s">
        <v>138</v>
      </c>
      <c r="C23" s="17" t="s">
        <v>139</v>
      </c>
      <c r="D23" s="17" t="s">
        <v>140</v>
      </c>
      <c r="E23" s="17" t="s">
        <v>141</v>
      </c>
      <c r="F23" s="17" t="s">
        <v>142</v>
      </c>
      <c r="G23" s="17" t="s">
        <v>143</v>
      </c>
      <c r="H23" s="18" t="s">
        <v>144</v>
      </c>
      <c r="I23" s="18" t="s">
        <v>145</v>
      </c>
      <c r="J23" s="18" t="s">
        <v>146</v>
      </c>
      <c r="K23" s="18" t="s">
        <v>144</v>
      </c>
      <c r="L23" s="18" t="s">
        <v>144</v>
      </c>
      <c r="M23" s="18" t="s">
        <v>147</v>
      </c>
      <c r="N23" s="18" t="s">
        <v>144</v>
      </c>
    </row>
    <row r="24" spans="1:14" x14ac:dyDescent="0.2">
      <c r="A24" s="17" t="s">
        <v>148</v>
      </c>
      <c r="B24" s="17" t="s">
        <v>149</v>
      </c>
      <c r="C24" s="17" t="s">
        <v>150</v>
      </c>
      <c r="D24" s="17" t="s">
        <v>151</v>
      </c>
      <c r="E24" s="17" t="s">
        <v>152</v>
      </c>
      <c r="F24" s="17" t="s">
        <v>153</v>
      </c>
      <c r="I24" s="18" t="s">
        <v>144</v>
      </c>
      <c r="L24" s="18"/>
      <c r="M24" s="4" t="s">
        <v>144</v>
      </c>
    </row>
    <row r="25" spans="1:14" x14ac:dyDescent="0.2">
      <c r="A25" s="17" t="s">
        <v>154</v>
      </c>
      <c r="B25" s="17" t="s">
        <v>155</v>
      </c>
      <c r="C25" s="17" t="s">
        <v>156</v>
      </c>
      <c r="D25" s="17" t="s">
        <v>157</v>
      </c>
      <c r="E25" s="17" t="s">
        <v>158</v>
      </c>
      <c r="F25" s="17" t="s">
        <v>159</v>
      </c>
      <c r="G25" s="17" t="s">
        <v>160</v>
      </c>
      <c r="I25" s="18" t="s">
        <v>161</v>
      </c>
      <c r="J25" s="18" t="s">
        <v>161</v>
      </c>
      <c r="K25" s="18" t="s">
        <v>162</v>
      </c>
      <c r="L25" s="18" t="s">
        <v>163</v>
      </c>
      <c r="M25" s="4" t="s">
        <v>164</v>
      </c>
    </row>
    <row r="26" spans="1:14" x14ac:dyDescent="0.2">
      <c r="A26" s="17" t="s">
        <v>165</v>
      </c>
      <c r="B26" s="17" t="s">
        <v>166</v>
      </c>
      <c r="C26" s="17" t="s">
        <v>167</v>
      </c>
      <c r="D26" s="17" t="s">
        <v>168</v>
      </c>
      <c r="E26" s="17" t="s">
        <v>169</v>
      </c>
      <c r="F26" s="17" t="s">
        <v>170</v>
      </c>
      <c r="G26" s="17" t="s">
        <v>171</v>
      </c>
      <c r="I26" s="18" t="s">
        <v>172</v>
      </c>
      <c r="J26" s="18" t="s">
        <v>172</v>
      </c>
      <c r="K26" s="18" t="s">
        <v>173</v>
      </c>
      <c r="L26" s="18" t="s">
        <v>162</v>
      </c>
      <c r="M26" s="18" t="s">
        <v>174</v>
      </c>
      <c r="N26" s="18" t="s">
        <v>173</v>
      </c>
    </row>
    <row r="27" spans="1:14" x14ac:dyDescent="0.2">
      <c r="A27" s="17" t="s">
        <v>175</v>
      </c>
      <c r="B27" s="17" t="s">
        <v>176</v>
      </c>
      <c r="C27" s="17" t="s">
        <v>177</v>
      </c>
      <c r="D27" s="17" t="s">
        <v>178</v>
      </c>
      <c r="E27" s="17" t="s">
        <v>179</v>
      </c>
      <c r="F27" s="17" t="s">
        <v>19</v>
      </c>
      <c r="G27" s="17" t="s">
        <v>180</v>
      </c>
      <c r="H27" s="18" t="s">
        <v>181</v>
      </c>
      <c r="I27" s="18" t="s">
        <v>146</v>
      </c>
      <c r="J27" s="18" t="s">
        <v>181</v>
      </c>
      <c r="K27" s="18" t="s">
        <v>181</v>
      </c>
      <c r="L27" s="18" t="s">
        <v>181</v>
      </c>
      <c r="M27" s="18" t="s">
        <v>182</v>
      </c>
      <c r="N27" s="18" t="s">
        <v>181</v>
      </c>
    </row>
    <row r="28" spans="1:14" x14ac:dyDescent="0.2">
      <c r="A28" s="17" t="s">
        <v>183</v>
      </c>
      <c r="B28" s="17" t="s">
        <v>184</v>
      </c>
      <c r="C28" s="17" t="s">
        <v>185</v>
      </c>
      <c r="D28" s="17" t="s">
        <v>186</v>
      </c>
      <c r="E28" s="17" t="s">
        <v>187</v>
      </c>
      <c r="F28" s="17" t="s">
        <v>188</v>
      </c>
      <c r="I28" s="18" t="s">
        <v>189</v>
      </c>
      <c r="J28" s="18" t="s">
        <v>112</v>
      </c>
    </row>
    <row r="29" spans="1:14" x14ac:dyDescent="0.2">
      <c r="A29" s="17" t="s">
        <v>190</v>
      </c>
      <c r="B29" s="17" t="s">
        <v>191</v>
      </c>
      <c r="C29" s="17" t="s">
        <v>192</v>
      </c>
      <c r="D29" s="17" t="s">
        <v>193</v>
      </c>
      <c r="E29" s="17" t="s">
        <v>194</v>
      </c>
      <c r="F29" s="17" t="s">
        <v>21</v>
      </c>
      <c r="G29" s="3" t="s">
        <v>195</v>
      </c>
      <c r="H29" s="4" t="s">
        <v>161</v>
      </c>
      <c r="I29" s="18" t="s">
        <v>189</v>
      </c>
      <c r="J29" s="18" t="s">
        <v>82</v>
      </c>
      <c r="K29" s="18" t="s">
        <v>196</v>
      </c>
      <c r="L29" s="18" t="s">
        <v>196</v>
      </c>
      <c r="M29" s="4" t="s">
        <v>197</v>
      </c>
      <c r="N29" s="18" t="s">
        <v>198</v>
      </c>
    </row>
    <row r="30" spans="1:14" x14ac:dyDescent="0.2">
      <c r="A30" s="17" t="s">
        <v>199</v>
      </c>
      <c r="B30" s="17" t="s">
        <v>200</v>
      </c>
      <c r="C30" s="17" t="s">
        <v>201</v>
      </c>
      <c r="D30" s="17" t="s">
        <v>202</v>
      </c>
      <c r="E30" s="17" t="s">
        <v>203</v>
      </c>
      <c r="F30" s="17" t="s">
        <v>204</v>
      </c>
      <c r="I30" s="18" t="s">
        <v>205</v>
      </c>
      <c r="J30" s="18" t="s">
        <v>145</v>
      </c>
    </row>
    <row r="31" spans="1:14" x14ac:dyDescent="0.2">
      <c r="A31" s="17" t="s">
        <v>206</v>
      </c>
      <c r="B31" s="17" t="s">
        <v>207</v>
      </c>
      <c r="C31" s="17" t="s">
        <v>208</v>
      </c>
      <c r="D31" s="17" t="s">
        <v>209</v>
      </c>
      <c r="E31" s="17" t="s">
        <v>210</v>
      </c>
      <c r="F31" s="17" t="s">
        <v>22</v>
      </c>
      <c r="G31" s="3" t="s">
        <v>211</v>
      </c>
      <c r="I31" s="18" t="s">
        <v>212</v>
      </c>
      <c r="J31" s="18" t="s">
        <v>145</v>
      </c>
      <c r="L31" s="4" t="s">
        <v>145</v>
      </c>
      <c r="N31" s="4" t="s">
        <v>145</v>
      </c>
    </row>
    <row r="32" spans="1:14" x14ac:dyDescent="0.2">
      <c r="A32" s="17" t="s">
        <v>213</v>
      </c>
      <c r="B32" s="17" t="s">
        <v>214</v>
      </c>
      <c r="C32" s="17" t="s">
        <v>215</v>
      </c>
      <c r="D32" s="17" t="s">
        <v>216</v>
      </c>
      <c r="E32" s="17" t="s">
        <v>217</v>
      </c>
      <c r="F32" s="3" t="s">
        <v>218</v>
      </c>
      <c r="H32" s="18"/>
      <c r="K32" s="18" t="s">
        <v>219</v>
      </c>
    </row>
    <row r="33" spans="1:14" x14ac:dyDescent="0.2">
      <c r="A33" s="17" t="s">
        <v>220</v>
      </c>
      <c r="B33" s="17" t="s">
        <v>221</v>
      </c>
      <c r="C33" s="17" t="s">
        <v>222</v>
      </c>
      <c r="D33" s="17" t="s">
        <v>223</v>
      </c>
      <c r="E33" s="17" t="s">
        <v>224</v>
      </c>
      <c r="F33" s="3" t="s">
        <v>225</v>
      </c>
      <c r="G33" s="3" t="s">
        <v>226</v>
      </c>
      <c r="H33" s="18" t="s">
        <v>227</v>
      </c>
      <c r="I33" s="18" t="s">
        <v>104</v>
      </c>
      <c r="J33" s="18" t="s">
        <v>228</v>
      </c>
      <c r="K33" s="18"/>
      <c r="L33" s="18" t="s">
        <v>229</v>
      </c>
      <c r="M33" s="4" t="s">
        <v>230</v>
      </c>
      <c r="N33" s="4" t="s">
        <v>231</v>
      </c>
    </row>
    <row r="34" spans="1:14" x14ac:dyDescent="0.2">
      <c r="A34" s="17" t="s">
        <v>232</v>
      </c>
      <c r="B34" s="17" t="s">
        <v>233</v>
      </c>
      <c r="C34" s="17" t="s">
        <v>234</v>
      </c>
      <c r="D34" s="17" t="s">
        <v>235</v>
      </c>
      <c r="E34" s="17" t="s">
        <v>236</v>
      </c>
      <c r="F34" s="3" t="s">
        <v>237</v>
      </c>
      <c r="G34" s="3" t="s">
        <v>238</v>
      </c>
      <c r="H34" s="18"/>
      <c r="I34" s="18" t="s">
        <v>144</v>
      </c>
      <c r="L34" s="18" t="s">
        <v>227</v>
      </c>
      <c r="M34" s="18"/>
      <c r="N34" s="4" t="s">
        <v>239</v>
      </c>
    </row>
    <row r="35" spans="1:14" x14ac:dyDescent="0.2">
      <c r="A35" s="17" t="s">
        <v>240</v>
      </c>
      <c r="B35" s="17" t="s">
        <v>241</v>
      </c>
      <c r="C35" s="17" t="s">
        <v>242</v>
      </c>
      <c r="D35" s="17" t="s">
        <v>243</v>
      </c>
      <c r="E35" s="17" t="s">
        <v>244</v>
      </c>
      <c r="F35" s="3" t="s">
        <v>23</v>
      </c>
      <c r="M35" s="18"/>
      <c r="N35" s="4" t="s">
        <v>245</v>
      </c>
    </row>
    <row r="36" spans="1:14" x14ac:dyDescent="0.2">
      <c r="A36" s="17" t="s">
        <v>246</v>
      </c>
      <c r="B36" s="17" t="s">
        <v>247</v>
      </c>
      <c r="C36" s="17" t="s">
        <v>248</v>
      </c>
      <c r="D36" s="17" t="s">
        <v>249</v>
      </c>
      <c r="E36" s="17" t="s">
        <v>250</v>
      </c>
      <c r="F36" s="17" t="s">
        <v>24</v>
      </c>
      <c r="G36" s="3" t="s">
        <v>251</v>
      </c>
      <c r="I36" s="4" t="s">
        <v>239</v>
      </c>
      <c r="J36" s="18"/>
      <c r="L36" s="4" t="s">
        <v>112</v>
      </c>
      <c r="M36" s="18"/>
      <c r="N36" s="4" t="s">
        <v>229</v>
      </c>
    </row>
    <row r="37" spans="1:14" x14ac:dyDescent="0.2">
      <c r="A37" s="17" t="s">
        <v>252</v>
      </c>
      <c r="B37" s="19" t="s">
        <v>253</v>
      </c>
      <c r="C37" s="17" t="s">
        <v>254</v>
      </c>
      <c r="D37" s="17" t="s">
        <v>255</v>
      </c>
      <c r="E37" s="17" t="s">
        <v>256</v>
      </c>
      <c r="F37" s="17" t="s">
        <v>25</v>
      </c>
      <c r="G37" s="17" t="s">
        <v>257</v>
      </c>
      <c r="H37" s="18" t="s">
        <v>258</v>
      </c>
      <c r="I37" s="18" t="s">
        <v>231</v>
      </c>
      <c r="L37" s="18" t="s">
        <v>212</v>
      </c>
      <c r="M37" s="18" t="s">
        <v>259</v>
      </c>
      <c r="N37" s="18" t="s">
        <v>212</v>
      </c>
    </row>
    <row r="38" spans="1:14" x14ac:dyDescent="0.2">
      <c r="A38" s="17" t="s">
        <v>260</v>
      </c>
      <c r="B38" s="17" t="s">
        <v>261</v>
      </c>
      <c r="C38" s="17" t="s">
        <v>262</v>
      </c>
      <c r="D38" s="17" t="s">
        <v>263</v>
      </c>
      <c r="E38" s="17" t="s">
        <v>264</v>
      </c>
      <c r="F38" s="17" t="s">
        <v>3</v>
      </c>
      <c r="L38" s="18"/>
      <c r="N38" s="18" t="s">
        <v>265</v>
      </c>
    </row>
    <row r="39" spans="1:14" x14ac:dyDescent="0.2">
      <c r="A39" s="17" t="s">
        <v>266</v>
      </c>
      <c r="B39" s="17" t="s">
        <v>267</v>
      </c>
      <c r="C39" s="17" t="s">
        <v>268</v>
      </c>
      <c r="D39" s="17" t="s">
        <v>269</v>
      </c>
      <c r="E39" s="17" t="s">
        <v>270</v>
      </c>
      <c r="F39" s="17" t="s">
        <v>271</v>
      </c>
      <c r="G39" s="17" t="s">
        <v>272</v>
      </c>
      <c r="I39" s="4" t="s">
        <v>265</v>
      </c>
      <c r="L39" s="18" t="s">
        <v>205</v>
      </c>
      <c r="N39" s="18" t="s">
        <v>273</v>
      </c>
    </row>
    <row r="40" spans="1:14" x14ac:dyDescent="0.2">
      <c r="A40" s="17" t="s">
        <v>274</v>
      </c>
      <c r="B40" s="17" t="s">
        <v>275</v>
      </c>
      <c r="C40" s="17" t="s">
        <v>276</v>
      </c>
      <c r="E40" s="17" t="s">
        <v>277</v>
      </c>
      <c r="F40" s="17" t="s">
        <v>278</v>
      </c>
      <c r="G40" s="17" t="s">
        <v>279</v>
      </c>
      <c r="M40" s="18" t="s">
        <v>280</v>
      </c>
      <c r="N40" s="18" t="s">
        <v>104</v>
      </c>
    </row>
    <row r="41" spans="1:14" x14ac:dyDescent="0.2">
      <c r="A41" s="17" t="s">
        <v>281</v>
      </c>
      <c r="B41" s="20" t="s">
        <v>282</v>
      </c>
      <c r="C41" s="17" t="s">
        <v>283</v>
      </c>
      <c r="E41" s="17" t="s">
        <v>284</v>
      </c>
      <c r="F41" s="17" t="s">
        <v>285</v>
      </c>
      <c r="G41" s="17" t="s">
        <v>286</v>
      </c>
      <c r="L41" s="18" t="s">
        <v>136</v>
      </c>
      <c r="N41" s="18" t="s">
        <v>146</v>
      </c>
    </row>
    <row r="42" spans="1:14" x14ac:dyDescent="0.2">
      <c r="A42" s="17" t="s">
        <v>287</v>
      </c>
      <c r="B42" s="19" t="s">
        <v>288</v>
      </c>
      <c r="C42" s="17" t="s">
        <v>289</v>
      </c>
      <c r="E42" s="17" t="s">
        <v>290</v>
      </c>
      <c r="F42" s="17" t="s">
        <v>291</v>
      </c>
      <c r="G42" s="17" t="s">
        <v>292</v>
      </c>
      <c r="H42" s="18"/>
      <c r="L42" s="18"/>
      <c r="N42" s="18" t="s">
        <v>172</v>
      </c>
    </row>
    <row r="43" spans="1:14" x14ac:dyDescent="0.2">
      <c r="A43" s="17" t="s">
        <v>293</v>
      </c>
      <c r="B43" s="17" t="s">
        <v>294</v>
      </c>
      <c r="C43" s="3" t="s">
        <v>295</v>
      </c>
      <c r="E43" s="17" t="s">
        <v>296</v>
      </c>
      <c r="F43" s="17" t="s">
        <v>297</v>
      </c>
      <c r="G43" s="17" t="s">
        <v>298</v>
      </c>
      <c r="L43" s="4" t="s">
        <v>228</v>
      </c>
      <c r="N43" s="18" t="s">
        <v>161</v>
      </c>
    </row>
    <row r="45" spans="1:14" x14ac:dyDescent="0.2">
      <c r="A45" s="17" t="s">
        <v>299</v>
      </c>
    </row>
    <row r="46" spans="1:14" s="22" customFormat="1" ht="10.5" x14ac:dyDescent="0.15">
      <c r="A46" s="21" t="s">
        <v>445</v>
      </c>
      <c r="H46" s="23"/>
      <c r="I46" s="23"/>
      <c r="J46" s="23"/>
      <c r="K46" s="23"/>
      <c r="L46" s="23"/>
      <c r="M46" s="23"/>
      <c r="N46" s="23"/>
    </row>
    <row r="47" spans="1:14" x14ac:dyDescent="0.2">
      <c r="A47" s="3" t="s">
        <v>444</v>
      </c>
    </row>
  </sheetData>
  <phoneticPr fontId="2" type="noConversion"/>
  <hyperlinks>
    <hyperlink ref="D1" r:id="rId1"/>
    <hyperlink ref="D2" r:id="rId2"/>
  </hyperlinks>
  <printOptions gridLines="1"/>
  <pageMargins left="0.31496062992125984" right="0.31496062992125984" top="0.37" bottom="0.19685039370078741" header="0.15748031496062992" footer="0.19685039370078741"/>
  <pageSetup paperSize="9" orientation="landscape" horizontalDpi="300" verticalDpi="300" r:id="rId3"/>
  <headerFooter alignWithMargins="0">
    <oddHeader>&amp;C &amp;P&amp;RWaveguide Table - Microwaves101.com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4</vt:i4>
      </vt:variant>
    </vt:vector>
  </HeadingPairs>
  <TitlesOfParts>
    <vt:vector size="8" baseType="lpstr">
      <vt:lpstr>Read me</vt:lpstr>
      <vt:lpstr>Standard WGs</vt:lpstr>
      <vt:lpstr>Custom WG</vt:lpstr>
      <vt:lpstr>Waveguide Table</vt:lpstr>
      <vt:lpstr>Standard WG plot</vt:lpstr>
      <vt:lpstr>Custom WG plot1</vt:lpstr>
      <vt:lpstr>Custom WG plot2</vt:lpstr>
      <vt:lpstr>Wave Impedance</vt:lpstr>
    </vt:vector>
  </TitlesOfParts>
  <Company>MIcrowaves101.com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Waveguide Loss</dc:title>
  <dc:creator>Unknown Editor</dc:creator>
  <cp:lastModifiedBy>Stenda</cp:lastModifiedBy>
  <cp:lastPrinted>2007-11-09T21:16:43Z</cp:lastPrinted>
  <dcterms:created xsi:type="dcterms:W3CDTF">2006-06-28T18:30:29Z</dcterms:created>
  <dcterms:modified xsi:type="dcterms:W3CDTF">2017-12-15T14:20:57Z</dcterms:modified>
</cp:coreProperties>
</file>