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40" windowHeight="6660" activeTab="0"/>
  </bookViews>
  <sheets>
    <sheet name="Maximally Flat" sheetId="1" r:id="rId1"/>
    <sheet name="Equal Ripple" sheetId="2" r:id="rId2"/>
    <sheet name="Exponential" sheetId="3" r:id="rId3"/>
  </sheets>
  <definedNames>
    <definedName name="_xlnm.Print_Area" localSheetId="1">'Equal Ripple'!$A$1:$H$43</definedName>
    <definedName name="_xlnm.Print_Area" localSheetId="2">'Exponential'!$A$1:$K$44</definedName>
    <definedName name="_xlnm.Print_Area" localSheetId="0">'Maximally Flat'!$A$1:$H$39</definedName>
  </definedNames>
  <calcPr fullCalcOnLoad="1"/>
</workbook>
</file>

<file path=xl/sharedStrings.xml><?xml version="1.0" encoding="utf-8"?>
<sst xmlns="http://schemas.openxmlformats.org/spreadsheetml/2006/main" count="250" uniqueCount="142">
  <si>
    <t>Input Parameters:</t>
  </si>
  <si>
    <t>Input Impedance, Ohms</t>
  </si>
  <si>
    <t>Output Impedance, Ohms</t>
  </si>
  <si>
    <t>Maximum Excess Loss, dB</t>
  </si>
  <si>
    <r>
      <t>λ</t>
    </r>
    <r>
      <rPr>
        <vertAlign val="subscript"/>
        <sz val="10"/>
        <rFont val="Arial"/>
        <family val="2"/>
      </rPr>
      <t>g0</t>
    </r>
    <r>
      <rPr>
        <sz val="10"/>
        <rFont val="Arial"/>
        <family val="2"/>
      </rPr>
      <t>, meters</t>
    </r>
  </si>
  <si>
    <r>
      <t>λ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, meters</t>
    </r>
  </si>
  <si>
    <t>Theta, radians</t>
  </si>
  <si>
    <t>Computed Parameters:</t>
  </si>
  <si>
    <t>Peak VSWR:</t>
  </si>
  <si>
    <t>Worst-Case Return Loss, dB</t>
  </si>
  <si>
    <t>Impedance Ratio, R</t>
  </si>
  <si>
    <t>Fractional Bandwidth</t>
  </si>
  <si>
    <t>Maximum Reflection Coefficient</t>
  </si>
  <si>
    <t>Matching Transformer Calculator - Maximally Flat</t>
  </si>
  <si>
    <r>
      <t>μ</t>
    </r>
    <r>
      <rPr>
        <vertAlign val="subscript"/>
        <sz val="10"/>
        <rFont val="Arial"/>
        <family val="2"/>
      </rPr>
      <t>0</t>
    </r>
  </si>
  <si>
    <r>
      <t>C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(1/μ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</si>
  <si>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Ripple, dB</t>
  </si>
  <si>
    <t>c</t>
  </si>
  <si>
    <t>Section</t>
  </si>
  <si>
    <t>Impedance, Ohms</t>
  </si>
  <si>
    <t>Normalized</t>
  </si>
  <si>
    <t>Vi</t>
  </si>
  <si>
    <r>
      <t>Γ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/ </t>
    </r>
    <r>
      <rPr>
        <sz val="10"/>
        <rFont val="Arial"/>
        <family val="2"/>
      </rPr>
      <t>Γ</t>
    </r>
    <r>
      <rPr>
        <vertAlign val="subscript"/>
        <sz val="10"/>
        <rFont val="Arial"/>
        <family val="2"/>
      </rPr>
      <t>1</t>
    </r>
  </si>
  <si>
    <t>Impedance</t>
  </si>
  <si>
    <t>Step Number</t>
  </si>
  <si>
    <t>Reflection Loss, dB</t>
  </si>
  <si>
    <t>Return Loss, dB</t>
  </si>
  <si>
    <t>VSWR</t>
  </si>
  <si>
    <r>
      <t>C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(θ/μ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</si>
  <si>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r>
      <t>cos(</t>
    </r>
    <r>
      <rPr>
        <sz val="10"/>
        <rFont val="Arial"/>
        <family val="2"/>
      </rPr>
      <t>θ</t>
    </r>
    <r>
      <rPr>
        <sz val="10"/>
        <rFont val="Arial"/>
        <family val="0"/>
      </rPr>
      <t>)</t>
    </r>
  </si>
  <si>
    <t>cos(θ)</t>
  </si>
  <si>
    <t>θ, radians</t>
  </si>
  <si>
    <r>
      <t>θ</t>
    </r>
    <r>
      <rPr>
        <sz val="10"/>
        <rFont val="Arial"/>
        <family val="0"/>
      </rPr>
      <t>, radians</t>
    </r>
  </si>
  <si>
    <t>ε</t>
  </si>
  <si>
    <t>Matching Transformer Calculator - Equal Ripple</t>
  </si>
  <si>
    <t xml:space="preserve">Maximum Reflection Loss, dB </t>
  </si>
  <si>
    <t>Center Frequency</t>
  </si>
  <si>
    <t>Current Frequency</t>
  </si>
  <si>
    <t>Frequency</t>
  </si>
  <si>
    <t>R</t>
  </si>
  <si>
    <t>Z1</t>
  </si>
  <si>
    <t>Z2</t>
  </si>
  <si>
    <t>Z3</t>
  </si>
  <si>
    <t>Intermediate Variables:</t>
  </si>
  <si>
    <t>A1</t>
  </si>
  <si>
    <t>Number of Sections in XFMR:</t>
  </si>
  <si>
    <t>Z4</t>
  </si>
  <si>
    <t>MYJ Table 6.05-1:</t>
  </si>
  <si>
    <t>MYJ Table 6.05-2:</t>
  </si>
  <si>
    <t>A2</t>
  </si>
  <si>
    <t>A3</t>
  </si>
  <si>
    <t>A4</t>
  </si>
  <si>
    <t>Log R</t>
  </si>
  <si>
    <t>Log(R)+1</t>
  </si>
  <si>
    <t>R^(1/2N)</t>
  </si>
  <si>
    <t>R^(1/N)</t>
  </si>
  <si>
    <t>RoundDown(LogR+1)</t>
  </si>
  <si>
    <t>RoundUp(LogR+1)</t>
  </si>
  <si>
    <t>LoValue</t>
  </si>
  <si>
    <t>HiValue</t>
  </si>
  <si>
    <t>3-dB Bandwidth</t>
  </si>
  <si>
    <t>Transformer Section Impedances:</t>
  </si>
  <si>
    <t>B1</t>
  </si>
  <si>
    <t>C1</t>
  </si>
  <si>
    <t>D1</t>
  </si>
  <si>
    <t>B2</t>
  </si>
  <si>
    <t>C2</t>
  </si>
  <si>
    <t>D2</t>
  </si>
  <si>
    <t>B3</t>
  </si>
  <si>
    <t>C3</t>
  </si>
  <si>
    <t>D3</t>
  </si>
  <si>
    <t>B4</t>
  </si>
  <si>
    <t>C4</t>
  </si>
  <si>
    <t>D4</t>
  </si>
  <si>
    <t>A5</t>
  </si>
  <si>
    <t>B5</t>
  </si>
  <si>
    <t>C5</t>
  </si>
  <si>
    <t>D5</t>
  </si>
  <si>
    <t>A6</t>
  </si>
  <si>
    <t>B6</t>
  </si>
  <si>
    <t>C6</t>
  </si>
  <si>
    <t>D6</t>
  </si>
  <si>
    <t>A7</t>
  </si>
  <si>
    <t>B7</t>
  </si>
  <si>
    <t>C7</t>
  </si>
  <si>
    <t>D7</t>
  </si>
  <si>
    <t>A8</t>
  </si>
  <si>
    <t>B8</t>
  </si>
  <si>
    <t>C8</t>
  </si>
  <si>
    <t>D8</t>
  </si>
  <si>
    <t>A12</t>
  </si>
  <si>
    <t>B12</t>
  </si>
  <si>
    <t>C12</t>
  </si>
  <si>
    <t>D12</t>
  </si>
  <si>
    <t>A13</t>
  </si>
  <si>
    <t>B13</t>
  </si>
  <si>
    <t>C13</t>
  </si>
  <si>
    <t>D13</t>
  </si>
  <si>
    <t>A14</t>
  </si>
  <si>
    <t>B14</t>
  </si>
  <si>
    <t>C14</t>
  </si>
  <si>
    <t>D14</t>
  </si>
  <si>
    <t>A15</t>
  </si>
  <si>
    <t>B15</t>
  </si>
  <si>
    <t>C15</t>
  </si>
  <si>
    <t>D15</t>
  </si>
  <si>
    <t>A16</t>
  </si>
  <si>
    <t>B16</t>
  </si>
  <si>
    <t>C16</t>
  </si>
  <si>
    <t>D16</t>
  </si>
  <si>
    <t>A17</t>
  </si>
  <si>
    <t>B17</t>
  </si>
  <si>
    <t>C17</t>
  </si>
  <si>
    <t>D17</t>
  </si>
  <si>
    <t>A18</t>
  </si>
  <si>
    <t>B18</t>
  </si>
  <si>
    <t>C18</t>
  </si>
  <si>
    <t>D18</t>
  </si>
  <si>
    <r>
      <t>sin(</t>
    </r>
    <r>
      <rPr>
        <sz val="10"/>
        <rFont val="Arial"/>
        <family val="2"/>
      </rPr>
      <t>β</t>
    </r>
    <r>
      <rPr>
        <sz val="10"/>
        <rFont val="Arial"/>
        <family val="0"/>
      </rPr>
      <t>l)</t>
    </r>
  </si>
  <si>
    <r>
      <t>cos(</t>
    </r>
    <r>
      <rPr>
        <sz val="10"/>
        <rFont val="Arial"/>
        <family val="2"/>
      </rPr>
      <t>β</t>
    </r>
    <r>
      <rPr>
        <sz val="10"/>
        <rFont val="Arial"/>
        <family val="0"/>
      </rPr>
      <t>l)</t>
    </r>
  </si>
  <si>
    <r>
      <t>β</t>
    </r>
    <r>
      <rPr>
        <sz val="10"/>
        <rFont val="Arial"/>
        <family val="0"/>
      </rPr>
      <t>l, radians</t>
    </r>
  </si>
  <si>
    <t>Matching Transformer Calculator - Exponential</t>
  </si>
  <si>
    <t>v2</t>
  </si>
  <si>
    <t>i2</t>
  </si>
  <si>
    <t>v1</t>
  </si>
  <si>
    <t>i1</t>
  </si>
  <si>
    <t>Zin</t>
  </si>
  <si>
    <r>
      <t>Γ</t>
    </r>
    <r>
      <rPr>
        <sz val="10"/>
        <rFont val="Arial"/>
        <family val="0"/>
      </rPr>
      <t>i</t>
    </r>
  </si>
  <si>
    <t>Zs, Complex:</t>
  </si>
  <si>
    <t>|Γi|</t>
  </si>
  <si>
    <t>Number of Sections</t>
  </si>
  <si>
    <t>Minimum Analysis Frequency</t>
  </si>
  <si>
    <t>Maximum Analysis Frequency</t>
  </si>
  <si>
    <t>Minimum Transformer Frequency</t>
  </si>
  <si>
    <t>Maximum Transformer Frequency</t>
  </si>
  <si>
    <t>Ztmin</t>
  </si>
  <si>
    <t>Ztmax</t>
  </si>
  <si>
    <t>Parameter Limits</t>
  </si>
  <si>
    <t>Lower</t>
  </si>
  <si>
    <t>Upper</t>
  </si>
  <si>
    <t>&gt;0</t>
  </si>
  <si>
    <t>NONE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</si>
</sst>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[$-409]h:mm:ss\ AM/PM"/>
    <numFmt numFmtId="175" formatCode="[$-409]dddd\,\ mmmm\ dd\,\ yyyy"/>
    <numFmt numFmtId="176" formatCode="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0" fontId="0" fillId="0" borderId="1" xfId="0" applyNumberFormat="1" applyFont="1" applyBorder="1" applyAlignment="1" applyProtection="1">
      <alignment/>
      <protection hidden="1"/>
    </xf>
    <xf numFmtId="0" fontId="0" fillId="0" borderId="1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5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3" xfId="0" applyNumberForma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173" fontId="0" fillId="0" borderId="0" xfId="0" applyNumberFormat="1" applyAlignment="1" applyProtection="1">
      <alignment/>
      <protection hidden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1" xfId="0" applyNumberForma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strRef>
              <c:f>'Maximally Flat'!$H$193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'Maximally Flat'!$B$194:$B$294</c:f>
              <c:numCache/>
            </c:numRef>
          </c:xVal>
          <c:yVal>
            <c:numRef>
              <c:f>'Maximally Flat'!$H$194:$H$294</c:f>
              <c:numCache/>
            </c:numRef>
          </c:yVal>
          <c:smooth val="1"/>
        </c:ser>
        <c:ser>
          <c:idx val="0"/>
          <c:order val="1"/>
          <c:tx>
            <c:strRef>
              <c:f>'Maximally Flat'!$F$193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'Maximally Flat'!$B$194:$B$294</c:f>
              <c:numCache/>
            </c:numRef>
          </c:xVal>
          <c:yVal>
            <c:numRef>
              <c:f>'Maximally Flat'!$F$194:$F$294</c:f>
              <c:numCache/>
            </c:numRef>
          </c:yVal>
          <c:smooth val="1"/>
        </c:ser>
        <c:axId val="13850134"/>
        <c:axId val="57542343"/>
      </c:scatterChart>
      <c:valAx>
        <c:axId val="1385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42343"/>
        <c:crosses val="max"/>
        <c:crossBetween val="midCat"/>
        <c:dispUnits/>
      </c:valAx>
      <c:valAx>
        <c:axId val="57542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50134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strRef>
              <c:f>'Equal Ripple'!$H$89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Ripple'!$B$90:$B$190</c:f>
              <c:numCache/>
            </c:numRef>
          </c:xVal>
          <c:yVal>
            <c:numRef>
              <c:f>'Equal Ripple'!$H$90:$H$190</c:f>
              <c:numCache/>
            </c:numRef>
          </c:yVal>
          <c:smooth val="1"/>
        </c:ser>
        <c:ser>
          <c:idx val="0"/>
          <c:order val="1"/>
          <c:tx>
            <c:strRef>
              <c:f>'Equal Ripple'!$F$89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Ripple'!$B$90:$B$190</c:f>
              <c:numCache/>
            </c:numRef>
          </c:xVal>
          <c:yVal>
            <c:numRef>
              <c:f>'Equal Ripple'!$F$90:$F$190</c:f>
              <c:numCache/>
            </c:numRef>
          </c:yVal>
          <c:smooth val="1"/>
        </c:ser>
        <c:axId val="48119040"/>
        <c:axId val="30418177"/>
      </c:scatterChart>
      <c:valAx>
        <c:axId val="48119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18177"/>
        <c:crosses val="max"/>
        <c:crossBetween val="midCat"/>
        <c:dispUnits/>
      </c:valAx>
      <c:valAx>
        <c:axId val="30418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19040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Exponential!$BU$103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Exponential!$B$104:$B$204</c:f>
              <c:numCache/>
            </c:numRef>
          </c:xVal>
          <c:yVal>
            <c:numRef>
              <c:f>Exponential!$BU$104:$BU$204</c:f>
              <c:numCache/>
            </c:numRef>
          </c:yVal>
          <c:smooth val="1"/>
        </c:ser>
        <c:ser>
          <c:idx val="1"/>
          <c:order val="1"/>
          <c:tx>
            <c:strRef>
              <c:f>Exponential!$BV$103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Exponential!$B$104:$B$204</c:f>
              <c:numCache/>
            </c:numRef>
          </c:xVal>
          <c:yVal>
            <c:numRef>
              <c:f>Exponential!$BV$104:$BV$204</c:f>
              <c:numCache/>
            </c:numRef>
          </c:yVal>
          <c:smooth val="1"/>
        </c:ser>
        <c:axId val="5328138"/>
        <c:axId val="47953243"/>
      </c:scatterChart>
      <c:valAx>
        <c:axId val="5328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53243"/>
        <c:crosses val="max"/>
        <c:crossBetween val="midCat"/>
        <c:dispUnits/>
      </c:valAx>
      <c:valAx>
        <c:axId val="47953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8138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010025" y="2343150"/>
        <a:ext cx="61245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152400</xdr:rowOff>
    </xdr:from>
    <xdr:to>
      <xdr:col>8</xdr:col>
      <xdr:colOff>9525</xdr:colOff>
      <xdr:row>42</xdr:row>
      <xdr:rowOff>152400</xdr:rowOff>
    </xdr:to>
    <xdr:graphicFrame>
      <xdr:nvGraphicFramePr>
        <xdr:cNvPr id="1" name="Chart 3"/>
        <xdr:cNvGraphicFramePr/>
      </xdr:nvGraphicFramePr>
      <xdr:xfrm>
        <a:off x="3990975" y="2333625"/>
        <a:ext cx="61722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11</xdr:col>
      <xdr:colOff>0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3971925" y="2343150"/>
        <a:ext cx="67532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07"/>
  <sheetViews>
    <sheetView tabSelected="1" workbookViewId="0" topLeftCell="A1">
      <selection activeCell="B5" sqref="B5"/>
    </sheetView>
  </sheetViews>
  <sheetFormatPr defaultColWidth="9.140625" defaultRowHeight="12.75"/>
  <cols>
    <col min="1" max="1" width="31.8515625" style="0" customWidth="1"/>
    <col min="2" max="2" width="16.28125" style="0" bestFit="1" customWidth="1"/>
    <col min="3" max="3" width="12.00390625" style="0" customWidth="1"/>
    <col min="4" max="4" width="12.57421875" style="0" bestFit="1" customWidth="1"/>
    <col min="5" max="5" width="12.00390625" style="1" bestFit="1" customWidth="1"/>
    <col min="6" max="6" width="27.57421875" style="0" bestFit="1" customWidth="1"/>
    <col min="7" max="7" width="17.28125" style="0" bestFit="1" customWidth="1"/>
    <col min="8" max="8" width="22.421875" style="0" bestFit="1" customWidth="1"/>
    <col min="9" max="9" width="24.421875" style="0" bestFit="1" customWidth="1"/>
    <col min="10" max="10" width="22.8515625" style="0" bestFit="1" customWidth="1"/>
    <col min="11" max="12" width="22.421875" style="0" bestFit="1" customWidth="1"/>
    <col min="13" max="13" width="17.8515625" style="0" bestFit="1" customWidth="1"/>
    <col min="14" max="14" width="22.8515625" style="0" bestFit="1" customWidth="1"/>
    <col min="15" max="16" width="22.421875" style="0" bestFit="1" customWidth="1"/>
    <col min="17" max="17" width="17.8515625" style="0" bestFit="1" customWidth="1"/>
    <col min="18" max="18" width="22.8515625" style="0" bestFit="1" customWidth="1"/>
    <col min="19" max="20" width="22.421875" style="0" bestFit="1" customWidth="1"/>
    <col min="21" max="21" width="17.8515625" style="0" bestFit="1" customWidth="1"/>
    <col min="22" max="22" width="22.8515625" style="0" bestFit="1" customWidth="1"/>
    <col min="23" max="24" width="22.421875" style="0" bestFit="1" customWidth="1"/>
    <col min="25" max="25" width="17.8515625" style="0" bestFit="1" customWidth="1"/>
    <col min="26" max="26" width="22.8515625" style="0" bestFit="1" customWidth="1"/>
    <col min="27" max="28" width="22.421875" style="0" bestFit="1" customWidth="1"/>
    <col min="29" max="29" width="17.8515625" style="0" bestFit="1" customWidth="1"/>
    <col min="30" max="30" width="22.8515625" style="0" bestFit="1" customWidth="1"/>
    <col min="31" max="32" width="22.421875" style="0" bestFit="1" customWidth="1"/>
    <col min="33" max="33" width="17.8515625" style="0" bestFit="1" customWidth="1"/>
    <col min="34" max="34" width="22.8515625" style="0" bestFit="1" customWidth="1"/>
    <col min="35" max="35" width="22.421875" style="0" bestFit="1" customWidth="1"/>
    <col min="36" max="36" width="22.28125" style="0" bestFit="1" customWidth="1"/>
    <col min="37" max="37" width="22.421875" style="0" bestFit="1" customWidth="1"/>
    <col min="38" max="38" width="21.8515625" style="0" bestFit="1" customWidth="1"/>
    <col min="39" max="39" width="18.421875" style="0" bestFit="1" customWidth="1"/>
    <col min="40" max="40" width="22.28125" style="0" bestFit="1" customWidth="1"/>
    <col min="41" max="41" width="17.8515625" style="0" bestFit="1" customWidth="1"/>
    <col min="42" max="42" width="22.8515625" style="0" bestFit="1" customWidth="1"/>
    <col min="43" max="43" width="18.421875" style="0" bestFit="1" customWidth="1"/>
    <col min="44" max="44" width="22.28125" style="0" bestFit="1" customWidth="1"/>
    <col min="45" max="45" width="17.8515625" style="0" bestFit="1" customWidth="1"/>
    <col min="46" max="46" width="22.28125" style="0" bestFit="1" customWidth="1"/>
    <col min="47" max="47" width="17.421875" style="0" bestFit="1" customWidth="1"/>
    <col min="48" max="48" width="22.28125" style="0" bestFit="1" customWidth="1"/>
    <col min="49" max="49" width="21.421875" style="0" bestFit="1" customWidth="1"/>
    <col min="50" max="50" width="21.140625" style="0" bestFit="1" customWidth="1"/>
    <col min="51" max="51" width="17.421875" style="0" bestFit="1" customWidth="1"/>
    <col min="52" max="52" width="22.28125" style="0" bestFit="1" customWidth="1"/>
    <col min="53" max="53" width="17.28125" style="0" bestFit="1" customWidth="1"/>
    <col min="54" max="54" width="17.7109375" style="0" customWidth="1"/>
    <col min="55" max="55" width="17.8515625" style="0" bestFit="1" customWidth="1"/>
    <col min="56" max="56" width="22.28125" style="0" bestFit="1" customWidth="1"/>
    <col min="57" max="57" width="17.28125" style="0" bestFit="1" customWidth="1"/>
    <col min="58" max="58" width="22.28125" style="0" bestFit="1" customWidth="1"/>
    <col min="59" max="59" width="17.28125" style="0" bestFit="1" customWidth="1"/>
    <col min="60" max="60" width="21.140625" style="0" bestFit="1" customWidth="1"/>
    <col min="61" max="61" width="17.8515625" style="0" bestFit="1" customWidth="1"/>
    <col min="62" max="62" width="21.8515625" style="0" bestFit="1" customWidth="1"/>
    <col min="63" max="63" width="16.7109375" style="0" bestFit="1" customWidth="1"/>
    <col min="64" max="64" width="22.28125" style="0" bestFit="1" customWidth="1"/>
    <col min="65" max="65" width="17.421875" style="0" bestFit="1" customWidth="1"/>
    <col min="66" max="66" width="8.140625" style="0" customWidth="1"/>
    <col min="67" max="67" width="4.28125" style="0" customWidth="1"/>
    <col min="68" max="69" width="33.421875" style="0" bestFit="1" customWidth="1"/>
    <col min="70" max="70" width="34.00390625" style="0" bestFit="1" customWidth="1"/>
    <col min="71" max="71" width="36.57421875" style="0" bestFit="1" customWidth="1"/>
    <col min="74" max="74" width="16.140625" style="0" bestFit="1" customWidth="1"/>
  </cols>
  <sheetData>
    <row r="1" spans="1:26" ht="18.75">
      <c r="A1" s="3" t="s">
        <v>13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4"/>
      <c r="C3" s="43" t="s">
        <v>137</v>
      </c>
      <c r="D3" s="43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0</v>
      </c>
      <c r="B4" s="4"/>
      <c r="C4" s="39" t="s">
        <v>138</v>
      </c>
      <c r="D4" s="40" t="s">
        <v>139</v>
      </c>
      <c r="F4" s="6" t="s">
        <v>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$B$60/$B$59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60</v>
      </c>
      <c r="G8" s="9" t="str">
        <f>IF($J$67&lt;3.0103,"INFINITE",IF($B$7&lt;1,0,$G$6*4/PI()*ASIN((4*$G$5/($G$5-1)^2)^(1/(2*$B$7)))))</f>
        <v>INFINITE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10*LOG10(1-10^(-0.1*$G$12))</f>
        <v>-5.786425969991299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 t="s">
        <v>131</v>
      </c>
      <c r="B10" s="38">
        <v>0</v>
      </c>
      <c r="C10" s="41">
        <v>0</v>
      </c>
      <c r="D10" s="42">
        <f>B11</f>
        <v>20</v>
      </c>
      <c r="F10" s="7" t="s">
        <v>12</v>
      </c>
      <c r="G10" s="9">
        <f>10^(0.05*$G$9)</f>
        <v>0.5136634939215057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 t="s">
        <v>132</v>
      </c>
      <c r="B11" s="38">
        <v>20</v>
      </c>
      <c r="C11" s="41">
        <f>B10</f>
        <v>0</v>
      </c>
      <c r="D11" s="42" t="s">
        <v>141</v>
      </c>
      <c r="F11" s="7" t="s">
        <v>8</v>
      </c>
      <c r="G11" s="9">
        <f>(1+$G$10)/(1-$G$10)</f>
        <v>3.112378928998601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4"/>
      <c r="C12" s="4"/>
      <c r="F12" s="7" t="s">
        <v>35</v>
      </c>
      <c r="G12" s="9">
        <f>10*LOG10(1+($G$5-1)^2/(4*$G$5)*(COS($J$66))^(2*$B$7))</f>
        <v>1.3303379271127902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4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6" t="s">
        <v>61</v>
      </c>
      <c r="B14" s="4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8" t="s">
        <v>18</v>
      </c>
      <c r="B15" s="8" t="s">
        <v>19</v>
      </c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>
        <v>1</v>
      </c>
      <c r="B16" s="9">
        <f>IF($B$7&gt;8,"ERROR",IF($B$7&lt;1,"N/A",IF($B$6&lt;$B$5,INDEX($B$51:$B$58,$B$7),$B$59*$F$63)))</f>
        <v>100.87421148827684</v>
      </c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>
        <v>2</v>
      </c>
      <c r="B17" s="9">
        <f>IF($B$7&gt;8,"ERROR",IF($B$7&lt;2,"N/A",IF($B$6&lt;$B$5,INDEX($B$51:$B$58,$B$7-1),$B$16*$F$64)))</f>
        <v>106.91125241579627</v>
      </c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>
        <v>3</v>
      </c>
      <c r="B18" s="9">
        <f>IF($B$7&gt;8,"ERROR",IF($B$7&lt;3,"N/A",IF($B$6&lt;$B$5,INDEX($B$51:$B$58,$B$7-2),$B$17*$F$65)))</f>
        <v>128.03098103027384</v>
      </c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>
        <v>4</v>
      </c>
      <c r="B19" s="9">
        <f>IF($B$7&gt;8,"ERROR",IF($B$7&lt;4,"N/A",IF($B$6&lt;$B$5,INDEX($B$51:$B$58,$B$7-3),$B$18*$F$66)))</f>
        <v>182.3332539592349</v>
      </c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>
        <v>5</v>
      </c>
      <c r="B20" s="9">
        <f>IF($B$7&gt;8,"ERROR",IF($B$7&lt;5,"N/A",IF($B$6&lt;$B$5,INDEX($B$51:$B$58,$B$7-4),$B$19*$F$67)))</f>
        <v>274.223154110872</v>
      </c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>
        <v>6</v>
      </c>
      <c r="B21" s="9">
        <f>IF($B$7&gt;8,"ERROR",IF($B$7&lt;6,"N/A",IF($B$6&lt;$B$5,INDEX($B$51:$B$58,$B$7-5),$B$20*$F$68)))</f>
        <v>390.5304762772783</v>
      </c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>
        <v>7</v>
      </c>
      <c r="B22" s="9">
        <f>IF($B$7&gt;8,"ERROR",IF($B$7&lt;7,"N/A",IF($B$6&lt;$B$5,INDEX($B$51:$B$58,$B$7-6),$B$21*$F$69)))</f>
        <v>467.6776192419991</v>
      </c>
      <c r="C22" s="4"/>
      <c r="D22" s="1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>
        <v>8</v>
      </c>
      <c r="B23" s="9">
        <f>IF($B$7&gt;8,"ERROR",IF($B$7&lt;8,"N/A",IF($B$6&lt;$B$5,INDEX($B$51:$B$58,$B$7-7),$B$22*$F$70)))</f>
        <v>495.6668236837797</v>
      </c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4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4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4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4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4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 t="s">
        <v>43</v>
      </c>
      <c r="B49" s="4"/>
      <c r="C49" s="4"/>
      <c r="D49" s="4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8" t="s">
        <v>18</v>
      </c>
      <c r="B50" s="8" t="s">
        <v>19</v>
      </c>
      <c r="C50" s="4"/>
      <c r="D50" s="4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>
        <v>1</v>
      </c>
      <c r="B51" s="9">
        <f>IF($B$7&gt;8,"ERROR",IF($B$7&lt;1,"N/A",$B$59*$F$63))</f>
        <v>100.87421148827684</v>
      </c>
      <c r="C51" s="4"/>
      <c r="D51" s="4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>
        <v>2</v>
      </c>
      <c r="B52" s="9">
        <f>IF($B$7&gt;8,"ERROR",IF($B$7&lt;2,"N/A",$B$51*$F$64))</f>
        <v>106.91125241579627</v>
      </c>
      <c r="C52" s="4"/>
      <c r="D52" s="4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>
        <v>3</v>
      </c>
      <c r="B53" s="9">
        <f>IF($B$7&gt;8,"ERROR",IF($B$7&lt;3,"N/A",$B$52*$F$65))</f>
        <v>128.03098103027384</v>
      </c>
      <c r="C53" s="4"/>
      <c r="D53" s="4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>
        <v>4</v>
      </c>
      <c r="B54" s="9">
        <f>IF($B$7&gt;8,"ERROR",IF($B$7&lt;4,"N/A",$B$53*$F$66))</f>
        <v>182.3332539592349</v>
      </c>
      <c r="C54" s="4"/>
      <c r="D54" s="4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>
        <v>5</v>
      </c>
      <c r="B55" s="9">
        <f>IF($B$7&gt;8,"ERROR",IF($B$7&lt;5,"N/A",$B$54*$F$67))</f>
        <v>274.223154110872</v>
      </c>
      <c r="C55" s="4"/>
      <c r="D55" s="4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>
        <v>6</v>
      </c>
      <c r="B56" s="9">
        <f>IF($B$7&gt;8,"ERROR",IF($B$7&lt;6,"N/A",$B$55*$F$68))</f>
        <v>390.5304762772783</v>
      </c>
      <c r="C56" s="4"/>
      <c r="D56" s="4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>
        <v>7</v>
      </c>
      <c r="B57" s="9">
        <f>IF($B$7&gt;8,"ERROR",IF($B$7&lt;7,"N/A",$B$56*$F$69))</f>
        <v>467.6776192419991</v>
      </c>
      <c r="C57" s="4"/>
      <c r="D57" s="4"/>
      <c r="E57" s="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>
        <v>8</v>
      </c>
      <c r="B58" s="9">
        <f>IF($B$7&gt;8,"ERROR",IF($B$7&lt;8,"N/A",$B$57*$F$70))</f>
        <v>495.6668236837797</v>
      </c>
      <c r="C58" s="4"/>
      <c r="D58" s="4"/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t="s">
        <v>135</v>
      </c>
      <c r="B59" s="4">
        <f>MIN($B$5,$B$6)</f>
        <v>100</v>
      </c>
      <c r="C59" s="4"/>
      <c r="D59" s="4"/>
      <c r="E59" s="5"/>
      <c r="F59" s="8" t="s">
        <v>21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t="s">
        <v>136</v>
      </c>
      <c r="B60" s="4">
        <f>MAX($B$5,$B$6)</f>
        <v>500</v>
      </c>
      <c r="C60" s="4"/>
      <c r="D60" s="4"/>
      <c r="E60" s="5"/>
      <c r="F60" s="1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2:26" ht="12.75">
      <c r="B61" s="4"/>
      <c r="C61" s="4"/>
      <c r="D61" s="4"/>
      <c r="E61" s="5"/>
      <c r="F61" s="1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2:26" ht="12.75">
      <c r="B62" s="4"/>
      <c r="C62" s="4"/>
      <c r="D62" s="4"/>
      <c r="E62" s="5"/>
      <c r="F62" s="1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26" ht="12.75">
      <c r="B63" s="4"/>
      <c r="C63" s="4"/>
      <c r="D63" s="4"/>
      <c r="E63" s="5"/>
      <c r="F63" s="27">
        <f>IF($B$7=1,SQRT($G$5),IF($B$7=2,$G$5^0.25,IF(OR($B$7&lt;1,$B$7&gt;8),"N/A",$B$69*$B$73)))</f>
        <v>1.0087421148827684</v>
      </c>
      <c r="G63" s="27">
        <f>IF($B$7=1,SQRT($G$5),IF($B$7=2,$G$5^0.25,IF($B$7=4,$B$64*$G$5^0.125,IF($B$7=5,INDEX($A$89:$M$188,INT($G$5),2),IF($B$7=6,INDEX($A$89:$M$188,INT($G$5),4),IF($B$7=7,INDEX($A$89:$M$188,INT($G$5),7),IF($B$7=8,INDEX($A$89:$M$188,$G$5,10),"ERROR")))))))</f>
        <v>1.00658</v>
      </c>
      <c r="H63" s="4"/>
      <c r="I63" s="7" t="s">
        <v>37</v>
      </c>
      <c r="J63" s="5">
        <f>$B$9</f>
        <v>18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>
      <c r="A64" s="4" t="s">
        <v>44</v>
      </c>
      <c r="B64" s="27">
        <f>SQRT(-($G$5^0.25-1)/($G$5^0.25+1)+SQRT((($G$5^0.25-1)/($G$5^0.25+1))+1))</f>
        <v>0.9467076885020024</v>
      </c>
      <c r="C64" s="4"/>
      <c r="D64" s="4"/>
      <c r="E64" s="5"/>
      <c r="F64" s="27">
        <f>IF($B$7=1,SQRT(G$5),IF($B$7=2,SQRT($G$5),IF($B$7=3,SQRT($G$5)/$F$63,IF(OR($B$7&lt;2,$B$7&gt;8),"N/A",$B$70*$B$74))))</f>
        <v>1.0598472180198506</v>
      </c>
      <c r="G64" s="27">
        <f>IF($B$7&lt;2,"N/A",IF($B$7=2,$G$5^0.5,IF($B$7=4,$G$5^0.25,IF($B$7=5,INDEX($A$89:$M$188,INT($G$5),3),IF($B$7=6,INDEX($A$89:$M$188,INT($G$5),5),IF($B$7=7,INDEX($A$89:$M$188,INT($G$5),8),IF($B$7=8,INDEX($A$89:$M$188,($G$5),11),"ERROR")))))))</f>
        <v>1.06009</v>
      </c>
      <c r="H64" s="4"/>
      <c r="I64" s="7" t="s">
        <v>4</v>
      </c>
      <c r="J64" s="5">
        <f>299792458/$G$6</f>
        <v>29979245.8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>
      <c r="A65" s="4" t="s">
        <v>52</v>
      </c>
      <c r="B65" s="27">
        <f>LOG($G$5)</f>
        <v>0.6989700043360189</v>
      </c>
      <c r="C65" s="4"/>
      <c r="D65" s="4"/>
      <c r="E65" s="5"/>
      <c r="F65" s="27">
        <f>IF($B$7=2,$F$63,IF($B$7=3,$F$64,IF($B$7=4,$G$5^0.25/$B$69^2,IF($B$7=5,SQRT($G$5)/($F$63*$F$64),IF(OR($B$7&lt;3,$B$7&gt;8),"N/A",$B$71*$B$74)))))</f>
        <v>1.1975444879491197</v>
      </c>
      <c r="G65" s="27">
        <f>IF($B$7&lt;3,"N/A",IF($B$7=4,$G$5^0.25/$B$64^2,IF($B$7=5,SQRT($G$5),IF($B$7=6,INDEX($A$89:$M$188,INT($G$5),6),IF($B$7=7,INDEX($A$89:$M$188,INT($G$5),9),IF($B$7=8,INDEX($A$89:$M$188,INT($G$5),12),"ERROR"))))))</f>
        <v>1.26681</v>
      </c>
      <c r="H65" s="4"/>
      <c r="I65" s="7" t="s">
        <v>5</v>
      </c>
      <c r="J65" s="5">
        <f>299792458/$J$63</f>
        <v>16655136.555555556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 t="s">
        <v>53</v>
      </c>
      <c r="B66" s="27">
        <f>$B$65+1</f>
        <v>1.6989700043360187</v>
      </c>
      <c r="C66" s="4"/>
      <c r="D66" s="4"/>
      <c r="E66" s="5"/>
      <c r="F66" s="27">
        <f>IF($B$7=3,$F$63,IF($B$7=4,$F$64,IF($B$7=5,SQRT($G$5)/($F$63*$F$64),IF($B$7=6,$G$5/($F$63*$F$64*$F$65)^2,IF($B$7=7,SQRT($G$5)/($F$63*$F$64*$F$65),IF(OR($B$7&lt;3,$B$7&gt;8),"N/A",$B$72*$B$74))))))</f>
        <v>1.424133850197718</v>
      </c>
      <c r="G66" s="27">
        <f>IF($B$7&lt;4,"N/A",IF($B$7=4,$G$64*$G$65,IF($B$7=5,$G$5/$G$64,IF($B$7=6,$G$5/$G$65,IF($B$7=7,SQRT($G$5),IF($B$7=8,INDEX($A$89:$M$188,INT($G$5),13),"ERROR"))))))</f>
        <v>1.7987</v>
      </c>
      <c r="H66" s="4"/>
      <c r="I66" s="7" t="s">
        <v>6</v>
      </c>
      <c r="J66" s="5">
        <f>0.5*PI()*$J$64/$J$65</f>
        <v>2.827433388230814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 t="s">
        <v>56</v>
      </c>
      <c r="B67" s="4">
        <f>INT($B$66)</f>
        <v>1</v>
      </c>
      <c r="C67" s="4"/>
      <c r="D67" s="4"/>
      <c r="E67" s="5"/>
      <c r="F67" s="27">
        <f>IF($B$7=4,$F$63,IF($B$7=5,$F$64,IF($B$7=6,$F$65,IF($B$7=7,$F$66,IF($B$7=8,$G$5/($F$63*$F$64*$F$65*$F$66)^2,IF(OR($B$7&lt;4,$B$7&gt;8),"N/A",$B$71*$B$74))))))</f>
        <v>1.5039667650103</v>
      </c>
      <c r="G67" s="27">
        <f>IF($B$7&lt;5,"N/A",IF($B$7=5,$G$5/$G63,IF($B$7=6,$G$5/$G$64,IF($B$7=7,$G$5/$G$65,IF($B$7=8,$G$5/$G$66,"ERROR")))))</f>
        <v>2.7797854005670763</v>
      </c>
      <c r="H67" s="4"/>
      <c r="I67" s="4" t="s">
        <v>3</v>
      </c>
      <c r="J67" s="5">
        <f>10*LOG10(1+($G$5-1)^2/(4*$G$5))</f>
        <v>2.5527250510330606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 t="s">
        <v>57</v>
      </c>
      <c r="B68" s="4">
        <f>$B$67+1</f>
        <v>2</v>
      </c>
      <c r="C68" s="4" t="s">
        <v>58</v>
      </c>
      <c r="D68" s="4" t="s">
        <v>59</v>
      </c>
      <c r="E68" s="5"/>
      <c r="F68" s="27">
        <f>IF($B$7=5,$F$63,IF($B$7=6,$F$64,IF($B$7=7,$F$65,IF($B$7=8,$F$66,IF(OR($B$7&lt;5,$B$7&gt;8),"N/A")))))</f>
        <v>1.424133850197718</v>
      </c>
      <c r="G68" s="27">
        <f>IF($B$7&lt;6,"N/A",IF($B$7=6,$G$5/$G$63,IF($B$7=7,$G$5/$G$64,IF($B$7=8,$G$5/$G$65,"ERROR"))))</f>
        <v>3.9469217956915403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 t="s">
        <v>44</v>
      </c>
      <c r="B69" s="27">
        <f>$C69+($D69-$C69)*($B$66-$B$67)/($B$68-$B$67)</f>
        <v>0.912209367455396</v>
      </c>
      <c r="C69" s="4">
        <f>IF($B$7=8,INDEX($A$81:$P$85,$B$67,13),IF($B$7=7,INDEX($A$81:$P$85,$B$67,10),IF($B$7=6,INDEX($A$81:$P$85,$B$67,7),IF($B$7=5,INDEX($A$81:$P$85,$B$67,5),IF($B$7=4,INDEX($A$81:$P$85,$B$67,3),IF($B$7=3,INDEX($A$81:$P$85,$B$67,2),"N/A"))))))</f>
        <v>1</v>
      </c>
      <c r="D69" s="4">
        <f>IF($B$7=8,INDEX($A$81:$P$85,$B$68,13),IF($B$7=7,INDEX($A$81:$P$85,$B$68,10),IF($B$7=6,INDEX($A$81:$P$85,$B$68,7),IF($B$7=5,INDEX($A$81:$P$85,$B$68,5),IF($B$7=4,INDEX($A$81:$P$85,$B$68,3),IF($B$7=3,INDEX($A$81:$P$85,$B$68,2),"N/A"))))))</f>
        <v>0.8744</v>
      </c>
      <c r="E69" s="5"/>
      <c r="F69" s="27">
        <f>IF($B$7=6,$F$63,IF($B$7=7,$F$64,IF($B$7=8,$F$65,IF(OR($B$7&lt;6,$B$7&gt;8),"N/A"))))</f>
        <v>1.1975444879491197</v>
      </c>
      <c r="G69" s="27">
        <f>IF($B$7&lt;7,"N/A",IF($B$7=7,$G$5/$G$63,IF($B$7=8,$G$5/$G$64,"ERROR")))</f>
        <v>4.7165806676791595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 t="s">
        <v>49</v>
      </c>
      <c r="B70" s="27">
        <f>$C70+($D70-$C70)*($B$66-$B$67)/($B$68-$B$67)</f>
        <v>0.8667064201731213</v>
      </c>
      <c r="C70" s="4">
        <f>IF($B$7=8,INDEX($A$81:$P$85,$B$67,14),IF($B$7=7,INDEX($A$81:$P$85,$B$67,11),IF($B$7=6,INDEX($A$81:$P$85,$B$67,8),IF($B$7=5,INDEX($A$81:$P$85,$B$67,6),IF($B$7=4,INDEX($A$81:$P$85,$B$67,4),"N/A")))))</f>
        <v>1</v>
      </c>
      <c r="D70" s="4">
        <f>IF($B$7=8,INDEX($A$81:$P$85,$B$68,14),IF($B$7=7,INDEX($A$81:$P$85,$B$68,11),IF($B$7=6,INDEX($A$81:$P$85,$B$68,8),IF($B$7=5,INDEX($A$81:$P$85,$B$68,6),IF($B$7=4,INDEX($A$81:$P$85,$B$68,4),"N/A")))))</f>
        <v>0.8093</v>
      </c>
      <c r="E70" s="5"/>
      <c r="F70" s="27">
        <f>IF($B$7=7,$F$63,IF($B$7=8,$F$64,IF(OR($B$7&lt;1,$B$7&gt;8),"ERROR","N/A")))</f>
        <v>1.0598472180198506</v>
      </c>
      <c r="G70" s="27">
        <f>IF($B$7&lt;8,"N/A",IF($B$7=8,$G$5/$G$63,"ERROR"))</f>
        <v>4.967315066860061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 t="s">
        <v>50</v>
      </c>
      <c r="B71" s="27">
        <f>$C71+($D71-$C71)*($B$66-$B$67)/($B$68-$B$67)</f>
        <v>0.9793104878716539</v>
      </c>
      <c r="C71" s="4">
        <f>IF($B$7=8,INDEX($A$81:$P$85,$B$67,15),IF($B$7=7,INDEX($A$81:$P$85,$B$67,12),IF($B$7=6,INDEX($A$81:$P$85,$B$67,9),"N/A")))</f>
        <v>1</v>
      </c>
      <c r="D71" s="4">
        <f>IF($B$7=8,INDEX($A$81:$P$85,$B$68,15),IF($B$7=7,INDEX($A$81:$P$85,$B$68,12),IF($B$7=6,INDEX($A$81:$P$85,$B$68,9),"N/A")))</f>
        <v>0.9704</v>
      </c>
      <c r="E71" s="5"/>
      <c r="F71" s="27">
        <f>IF($B$7=8,$F$63,"N/A")</f>
        <v>1.0087421148827684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 t="s">
        <v>51</v>
      </c>
      <c r="B72" s="27">
        <f>$C72+($D72-$C72)*($B$66-$B$67)/($B$68-$B$67)</f>
        <v>1.1646074360211325</v>
      </c>
      <c r="C72" s="4">
        <f>IF($B$7=8,INDEX($A$81:$P$85,$B$67,16),"N/A")</f>
        <v>1</v>
      </c>
      <c r="D72" s="4">
        <f>IF($B$7=8,INDEX($A$81:$P$85,$B$68,16),"N/A")</f>
        <v>1.2355</v>
      </c>
      <c r="E72" s="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 t="s">
        <v>54</v>
      </c>
      <c r="B73" s="27">
        <f>$G$5^(0.5/$B$7)</f>
        <v>1.1058230170302352</v>
      </c>
      <c r="C73" s="4"/>
      <c r="D73" s="4"/>
      <c r="E73" s="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 t="s">
        <v>55</v>
      </c>
      <c r="B74" s="27">
        <f>$G$5^(1/$B$7)</f>
        <v>1.2228445449938519</v>
      </c>
      <c r="C74" s="4"/>
      <c r="D74" s="4"/>
      <c r="E74" s="5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5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thickBot="1">
      <c r="A78" s="6" t="s">
        <v>48</v>
      </c>
      <c r="B78" s="4"/>
      <c r="C78" s="4"/>
      <c r="D78" s="4"/>
      <c r="E78" s="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16" t="s">
        <v>45</v>
      </c>
      <c r="B79" s="17">
        <v>3</v>
      </c>
      <c r="C79" s="17">
        <v>4</v>
      </c>
      <c r="D79" s="17">
        <v>4</v>
      </c>
      <c r="E79" s="18">
        <v>5</v>
      </c>
      <c r="F79" s="18">
        <v>5</v>
      </c>
      <c r="G79" s="24">
        <v>6</v>
      </c>
      <c r="H79" s="24">
        <v>6</v>
      </c>
      <c r="I79" s="24">
        <v>6</v>
      </c>
      <c r="J79" s="17">
        <v>7</v>
      </c>
      <c r="K79" s="17">
        <v>7</v>
      </c>
      <c r="L79" s="17">
        <v>7</v>
      </c>
      <c r="M79" s="17">
        <v>8</v>
      </c>
      <c r="N79" s="17">
        <v>8</v>
      </c>
      <c r="O79" s="17">
        <v>8</v>
      </c>
      <c r="P79" s="22">
        <v>8</v>
      </c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thickBot="1">
      <c r="A80" s="19" t="s">
        <v>52</v>
      </c>
      <c r="B80" s="20" t="s">
        <v>44</v>
      </c>
      <c r="C80" s="20" t="s">
        <v>44</v>
      </c>
      <c r="D80" s="20" t="s">
        <v>49</v>
      </c>
      <c r="E80" s="21" t="s">
        <v>44</v>
      </c>
      <c r="F80" s="21" t="s">
        <v>49</v>
      </c>
      <c r="G80" s="25" t="s">
        <v>44</v>
      </c>
      <c r="H80" s="25" t="s">
        <v>49</v>
      </c>
      <c r="I80" s="25" t="s">
        <v>50</v>
      </c>
      <c r="J80" s="20" t="s">
        <v>44</v>
      </c>
      <c r="K80" s="20" t="s">
        <v>49</v>
      </c>
      <c r="L80" s="20" t="s">
        <v>50</v>
      </c>
      <c r="M80" s="20" t="s">
        <v>44</v>
      </c>
      <c r="N80" s="20" t="s">
        <v>49</v>
      </c>
      <c r="O80" s="20" t="s">
        <v>50</v>
      </c>
      <c r="P80" s="26" t="s">
        <v>51</v>
      </c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>
        <v>0</v>
      </c>
      <c r="B81" s="27">
        <v>1</v>
      </c>
      <c r="C81" s="27">
        <v>1</v>
      </c>
      <c r="D81" s="27">
        <v>1</v>
      </c>
      <c r="E81" s="27">
        <v>1</v>
      </c>
      <c r="F81" s="27">
        <v>1</v>
      </c>
      <c r="G81" s="27">
        <v>1</v>
      </c>
      <c r="H81" s="27">
        <v>1</v>
      </c>
      <c r="I81" s="27">
        <v>1</v>
      </c>
      <c r="J81" s="27">
        <v>1</v>
      </c>
      <c r="K81" s="27">
        <v>1</v>
      </c>
      <c r="L81" s="27">
        <v>1</v>
      </c>
      <c r="M81" s="27">
        <v>1</v>
      </c>
      <c r="N81" s="27">
        <v>1</v>
      </c>
      <c r="O81" s="27">
        <v>1</v>
      </c>
      <c r="P81" s="27">
        <v>1</v>
      </c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>
        <v>1</v>
      </c>
      <c r="B82" s="27">
        <v>0.9135</v>
      </c>
      <c r="C82" s="27">
        <v>0.8708</v>
      </c>
      <c r="D82" s="27">
        <v>1</v>
      </c>
      <c r="E82" s="27">
        <v>0.857</v>
      </c>
      <c r="F82" s="27">
        <v>0.9088</v>
      </c>
      <c r="G82" s="27">
        <v>0.8577</v>
      </c>
      <c r="H82" s="27">
        <v>0.851</v>
      </c>
      <c r="I82" s="27">
        <v>1.1658</v>
      </c>
      <c r="J82" s="27">
        <v>0.8649</v>
      </c>
      <c r="K82" s="27">
        <v>0.821</v>
      </c>
      <c r="L82" s="27">
        <v>1.0534</v>
      </c>
      <c r="M82" s="27">
        <v>0.8744</v>
      </c>
      <c r="N82" s="27">
        <v>0.8093</v>
      </c>
      <c r="O82" s="27">
        <v>0.9704</v>
      </c>
      <c r="P82" s="27">
        <v>1.2355</v>
      </c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>
        <v>2</v>
      </c>
      <c r="B83" s="27">
        <v>0.8557</v>
      </c>
      <c r="C83" s="27">
        <v>0.7793</v>
      </c>
      <c r="D83" s="27">
        <v>1</v>
      </c>
      <c r="E83" s="27">
        <v>0.7497</v>
      </c>
      <c r="F83" s="27">
        <v>0.8458</v>
      </c>
      <c r="G83" s="27">
        <v>0.7456</v>
      </c>
      <c r="H83" s="27">
        <v>0.7478</v>
      </c>
      <c r="I83" s="27">
        <v>1.3411</v>
      </c>
      <c r="J83" s="27">
        <v>0.7541</v>
      </c>
      <c r="K83" s="27">
        <v>0.6941</v>
      </c>
      <c r="L83" s="27">
        <v>1.125</v>
      </c>
      <c r="M83" s="27">
        <v>0.7682</v>
      </c>
      <c r="N83" s="27">
        <v>0.6699</v>
      </c>
      <c r="O83" s="27">
        <v>0.9682</v>
      </c>
      <c r="P83" s="27">
        <v>1.4926</v>
      </c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>
        <v>3</v>
      </c>
      <c r="B84" s="27">
        <v>0.8239</v>
      </c>
      <c r="C84" s="27">
        <v>0.7221</v>
      </c>
      <c r="D84" s="27">
        <v>1</v>
      </c>
      <c r="E84" s="27">
        <v>0.6755</v>
      </c>
      <c r="F84" s="27">
        <v>0.8084</v>
      </c>
      <c r="G84" s="27">
        <v>0.6619</v>
      </c>
      <c r="H84" s="27">
        <v>0.6837</v>
      </c>
      <c r="I84" s="27">
        <v>1.5107</v>
      </c>
      <c r="J84" s="27">
        <v>0.6664</v>
      </c>
      <c r="K84" s="27">
        <v>0.611</v>
      </c>
      <c r="L84" s="27">
        <v>1.2147</v>
      </c>
      <c r="M84" s="27">
        <v>0.6803</v>
      </c>
      <c r="N84" s="27">
        <v>0.5736</v>
      </c>
      <c r="O84" s="27">
        <v>0.9966</v>
      </c>
      <c r="P84" s="27">
        <v>1.7432</v>
      </c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>
        <v>4</v>
      </c>
      <c r="B85" s="27">
        <v>0.808</v>
      </c>
      <c r="C85" s="27">
        <v>0.6883</v>
      </c>
      <c r="D85" s="27">
        <v>1</v>
      </c>
      <c r="E85" s="27">
        <v>0.6263</v>
      </c>
      <c r="F85" s="27">
        <v>0.7873</v>
      </c>
      <c r="G85" s="27">
        <v>0.6013</v>
      </c>
      <c r="H85" s="27">
        <v>0.6451</v>
      </c>
      <c r="I85" s="27">
        <v>1.6629</v>
      </c>
      <c r="J85" s="27">
        <v>0.5987</v>
      </c>
      <c r="K85" s="27">
        <v>0.5578</v>
      </c>
      <c r="L85" s="27">
        <v>1.3131</v>
      </c>
      <c r="M85" s="27">
        <v>0.609</v>
      </c>
      <c r="N85" s="27">
        <v>0.5084</v>
      </c>
      <c r="O85" s="27">
        <v>1.0468</v>
      </c>
      <c r="P85" s="35">
        <v>1.9665</v>
      </c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thickBot="1">
      <c r="A86" s="6" t="s">
        <v>47</v>
      </c>
      <c r="B86" s="4"/>
      <c r="C86" s="4"/>
      <c r="D86" s="4"/>
      <c r="E86" s="5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16" t="s">
        <v>45</v>
      </c>
      <c r="B87" s="17">
        <v>5</v>
      </c>
      <c r="C87" s="17">
        <v>5</v>
      </c>
      <c r="D87" s="17">
        <v>6</v>
      </c>
      <c r="E87" s="18">
        <v>6</v>
      </c>
      <c r="F87" s="18">
        <v>6</v>
      </c>
      <c r="G87" s="17">
        <v>7</v>
      </c>
      <c r="H87" s="17">
        <v>7</v>
      </c>
      <c r="I87" s="17">
        <v>7</v>
      </c>
      <c r="J87" s="17">
        <v>8</v>
      </c>
      <c r="K87" s="17">
        <v>8</v>
      </c>
      <c r="L87" s="17">
        <v>8</v>
      </c>
      <c r="M87" s="22">
        <v>8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thickBot="1">
      <c r="A88" s="19" t="s">
        <v>39</v>
      </c>
      <c r="B88" s="20" t="s">
        <v>40</v>
      </c>
      <c r="C88" s="20" t="s">
        <v>41</v>
      </c>
      <c r="D88" s="20" t="s">
        <v>40</v>
      </c>
      <c r="E88" s="21" t="s">
        <v>41</v>
      </c>
      <c r="F88" s="21" t="s">
        <v>42</v>
      </c>
      <c r="G88" s="20" t="s">
        <v>40</v>
      </c>
      <c r="H88" s="20" t="s">
        <v>41</v>
      </c>
      <c r="I88" s="20" t="s">
        <v>42</v>
      </c>
      <c r="J88" s="20" t="s">
        <v>40</v>
      </c>
      <c r="K88" s="20" t="s">
        <v>41</v>
      </c>
      <c r="L88" s="20" t="s">
        <v>42</v>
      </c>
      <c r="M88" s="23" t="s">
        <v>46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>
        <v>1</v>
      </c>
      <c r="B89" s="4">
        <v>1</v>
      </c>
      <c r="C89" s="4">
        <v>1</v>
      </c>
      <c r="D89" s="4">
        <v>1</v>
      </c>
      <c r="E89" s="5">
        <v>1</v>
      </c>
      <c r="F89" s="5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>
        <v>2</v>
      </c>
      <c r="B90" s="4">
        <v>1.02201</v>
      </c>
      <c r="C90" s="4">
        <v>1.13908</v>
      </c>
      <c r="D90" s="4">
        <v>1.01096</v>
      </c>
      <c r="E90" s="5">
        <v>1.07904</v>
      </c>
      <c r="F90" s="5">
        <v>1.26929</v>
      </c>
      <c r="G90" s="4">
        <v>1.00549</v>
      </c>
      <c r="H90" s="4">
        <v>1.04448</v>
      </c>
      <c r="I90" s="4">
        <v>1.17039</v>
      </c>
      <c r="J90" s="4">
        <v>1.00273</v>
      </c>
      <c r="K90" s="4">
        <v>1.02481</v>
      </c>
      <c r="L90" s="4">
        <v>1.10571</v>
      </c>
      <c r="M90" s="4">
        <v>1.28658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>
        <v>3</v>
      </c>
      <c r="B91" s="4">
        <v>1.03539</v>
      </c>
      <c r="C91" s="4">
        <v>1.23002</v>
      </c>
      <c r="D91" s="4">
        <v>1.01759</v>
      </c>
      <c r="E91" s="5">
        <v>1.12884</v>
      </c>
      <c r="F91" s="5">
        <v>1.45995</v>
      </c>
      <c r="G91" s="4">
        <v>1.00878</v>
      </c>
      <c r="H91" s="4">
        <v>1.07195</v>
      </c>
      <c r="I91" s="4">
        <v>1.28415</v>
      </c>
      <c r="J91" s="4">
        <v>1.00438</v>
      </c>
      <c r="K91" s="4">
        <v>1.03997</v>
      </c>
      <c r="L91" s="4">
        <v>1.17355</v>
      </c>
      <c r="M91" s="4">
        <v>1.49162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>
        <v>4</v>
      </c>
      <c r="B92" s="4">
        <v>1.04521</v>
      </c>
      <c r="C92" s="4">
        <v>1.29954</v>
      </c>
      <c r="D92" s="4">
        <v>1.02246</v>
      </c>
      <c r="E92" s="5">
        <v>1.16613</v>
      </c>
      <c r="F92" s="5">
        <v>1.61292</v>
      </c>
      <c r="G92" s="4">
        <v>1.01121</v>
      </c>
      <c r="H92" s="4">
        <v>1.09229</v>
      </c>
      <c r="I92" s="4">
        <v>1.37227</v>
      </c>
      <c r="J92" s="4">
        <v>1.0056</v>
      </c>
      <c r="K92" s="4">
        <v>1.05114</v>
      </c>
      <c r="L92" s="4">
        <v>1.2249</v>
      </c>
      <c r="M92" s="4">
        <v>1.65722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>
        <v>5</v>
      </c>
      <c r="B93" s="4">
        <v>1.05305</v>
      </c>
      <c r="C93" s="4">
        <v>1.35663</v>
      </c>
      <c r="D93" s="4">
        <v>1.02635</v>
      </c>
      <c r="E93" s="5">
        <v>1.19631</v>
      </c>
      <c r="F93" s="5">
        <v>1.74297</v>
      </c>
      <c r="G93" s="4">
        <v>1.01315</v>
      </c>
      <c r="H93" s="4">
        <v>1.10863</v>
      </c>
      <c r="I93" s="4">
        <v>1.44534</v>
      </c>
      <c r="J93" s="4">
        <v>1.00658</v>
      </c>
      <c r="K93" s="4">
        <v>1.06009</v>
      </c>
      <c r="L93" s="4">
        <v>1.26681</v>
      </c>
      <c r="M93" s="4">
        <v>1.7987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>
        <v>6</v>
      </c>
      <c r="B94" s="4">
        <v>1.05962</v>
      </c>
      <c r="C94" s="4">
        <v>1.40549</v>
      </c>
      <c r="D94" s="4">
        <v>1.02961</v>
      </c>
      <c r="E94" s="5">
        <v>1.22186</v>
      </c>
      <c r="F94" s="5">
        <v>1.85731</v>
      </c>
      <c r="G94" s="4">
        <v>1.01479</v>
      </c>
      <c r="H94" s="4">
        <v>1.1224</v>
      </c>
      <c r="I94" s="4">
        <v>1.50837</v>
      </c>
      <c r="J94" s="4">
        <v>1.0074</v>
      </c>
      <c r="K94" s="4">
        <v>1.06762</v>
      </c>
      <c r="L94" s="4">
        <v>1.30252</v>
      </c>
      <c r="M94" s="4">
        <v>1.92356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>
        <v>7</v>
      </c>
      <c r="B95" s="4">
        <v>1.0653</v>
      </c>
      <c r="C95" s="4">
        <v>1.44845</v>
      </c>
      <c r="D95" s="4">
        <v>1.03243</v>
      </c>
      <c r="E95" s="5">
        <v>1.24413</v>
      </c>
      <c r="F95" s="5">
        <v>1.9601</v>
      </c>
      <c r="G95" s="4">
        <v>1.0162</v>
      </c>
      <c r="H95" s="4">
        <v>1.13436</v>
      </c>
      <c r="I95" s="4">
        <v>1.56414</v>
      </c>
      <c r="J95" s="4">
        <v>1.00812</v>
      </c>
      <c r="K95" s="4">
        <v>1.07414</v>
      </c>
      <c r="L95" s="4">
        <v>1.33381</v>
      </c>
      <c r="M95" s="4">
        <v>2.03617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>
        <v>8</v>
      </c>
      <c r="B96" s="4">
        <v>1.07032</v>
      </c>
      <c r="C96" s="4">
        <v>1.48696</v>
      </c>
      <c r="D96" s="4">
        <v>1.03493</v>
      </c>
      <c r="E96" s="5">
        <v>1.26395</v>
      </c>
      <c r="F96" s="5">
        <v>2.05396</v>
      </c>
      <c r="G96" s="4">
        <v>1.01746</v>
      </c>
      <c r="H96" s="4">
        <v>1.14496</v>
      </c>
      <c r="I96" s="4">
        <v>1.6144</v>
      </c>
      <c r="J96" s="4">
        <v>1.00875</v>
      </c>
      <c r="K96" s="4">
        <v>1.07992</v>
      </c>
      <c r="L96" s="4">
        <v>1.36177</v>
      </c>
      <c r="M96" s="4">
        <v>2.13926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>
        <v>9</v>
      </c>
      <c r="B97" s="4">
        <v>1.07482</v>
      </c>
      <c r="C97" s="4">
        <v>1.52196</v>
      </c>
      <c r="D97" s="4">
        <v>1.03717</v>
      </c>
      <c r="E97" s="5">
        <v>1.28186</v>
      </c>
      <c r="F97" s="5">
        <v>2.14066</v>
      </c>
      <c r="G97" s="4">
        <v>1.01859</v>
      </c>
      <c r="H97" s="4">
        <v>1.15451</v>
      </c>
      <c r="I97" s="4">
        <v>1.66032</v>
      </c>
      <c r="J97" s="4">
        <v>1.00932</v>
      </c>
      <c r="K97" s="4">
        <v>1.08513</v>
      </c>
      <c r="L97" s="4">
        <v>1.38714</v>
      </c>
      <c r="M97" s="4">
        <v>2.23474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>
        <v>10</v>
      </c>
      <c r="B98" s="4">
        <v>1.07892</v>
      </c>
      <c r="C98" s="4">
        <v>1.55413</v>
      </c>
      <c r="D98" s="4">
        <v>1.03921</v>
      </c>
      <c r="E98" s="5">
        <v>1.29822</v>
      </c>
      <c r="F98" s="5">
        <v>2.22148</v>
      </c>
      <c r="G98" s="4">
        <v>1.01962</v>
      </c>
      <c r="H98" s="4">
        <v>1.16322</v>
      </c>
      <c r="I98" s="4">
        <v>1.7027</v>
      </c>
      <c r="J98" s="4">
        <v>1.00984</v>
      </c>
      <c r="K98" s="4">
        <v>1.08987</v>
      </c>
      <c r="L98" s="4">
        <v>1.41041</v>
      </c>
      <c r="M98" s="4">
        <v>2.32393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>
        <v>11</v>
      </c>
      <c r="B99" s="4">
        <f>$B$98+($A99-$A$98)*($B$103-$B$98)/($A$103-$A$98)</f>
        <v>1.082198</v>
      </c>
      <c r="C99" s="4">
        <f aca="true" t="shared" si="0" ref="C99:M102">C$98+($A99-$A$98)*(C$103-C$98)/($A$103-$A$98)</f>
        <v>1.580504</v>
      </c>
      <c r="D99" s="4">
        <f t="shared" si="0"/>
        <v>1.040848</v>
      </c>
      <c r="E99" s="4">
        <f t="shared" si="0"/>
        <v>1.3114759999999999</v>
      </c>
      <c r="F99" s="4">
        <f t="shared" si="0"/>
        <v>2.28994</v>
      </c>
      <c r="G99" s="4">
        <f t="shared" si="0"/>
        <v>1.020446</v>
      </c>
      <c r="H99" s="4">
        <f t="shared" si="0"/>
        <v>1.1702359999999998</v>
      </c>
      <c r="I99" s="4">
        <f t="shared" si="0"/>
        <v>1.7377960000000001</v>
      </c>
      <c r="J99" s="4">
        <f t="shared" si="0"/>
        <v>1.0102600000000002</v>
      </c>
      <c r="K99" s="4">
        <f t="shared" si="0"/>
        <v>1.093686</v>
      </c>
      <c r="L99" s="4">
        <f t="shared" si="0"/>
        <v>1.429414</v>
      </c>
      <c r="M99" s="4">
        <f t="shared" si="0"/>
        <v>2.399844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>
        <v>12</v>
      </c>
      <c r="B100" s="4">
        <f>$B$98+($A100-$A$98)*($B$103-$B$98)/($A$103-$A$98)</f>
        <v>1.085476</v>
      </c>
      <c r="C100" s="4">
        <f t="shared" si="0"/>
        <v>1.606878</v>
      </c>
      <c r="D100" s="4">
        <f t="shared" si="0"/>
        <v>1.042486</v>
      </c>
      <c r="E100" s="4">
        <f t="shared" si="0"/>
        <v>1.324732</v>
      </c>
      <c r="F100" s="4">
        <f t="shared" si="0"/>
        <v>2.3584</v>
      </c>
      <c r="G100" s="4">
        <f t="shared" si="0"/>
        <v>1.021272</v>
      </c>
      <c r="H100" s="4">
        <f t="shared" si="0"/>
        <v>1.177252</v>
      </c>
      <c r="I100" s="4">
        <f t="shared" si="0"/>
        <v>1.7728920000000001</v>
      </c>
      <c r="J100" s="4">
        <f t="shared" si="0"/>
        <v>1.01068</v>
      </c>
      <c r="K100" s="4">
        <f t="shared" si="0"/>
        <v>1.097502</v>
      </c>
      <c r="L100" s="4">
        <f t="shared" si="0"/>
        <v>1.448418</v>
      </c>
      <c r="M100" s="4">
        <f t="shared" si="0"/>
        <v>2.475758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>
        <v>13</v>
      </c>
      <c r="B101" s="4">
        <f>$B$98+($A101-$A$98)*($B$103-$B$98)/($A$103-$A$98)</f>
        <v>1.088754</v>
      </c>
      <c r="C101" s="4">
        <f t="shared" si="0"/>
        <v>1.633252</v>
      </c>
      <c r="D101" s="4">
        <f t="shared" si="0"/>
        <v>1.044124</v>
      </c>
      <c r="E101" s="4">
        <f t="shared" si="0"/>
        <v>1.337988</v>
      </c>
      <c r="F101" s="4">
        <f t="shared" si="0"/>
        <v>2.42686</v>
      </c>
      <c r="G101" s="4">
        <f t="shared" si="0"/>
        <v>1.022098</v>
      </c>
      <c r="H101" s="4">
        <f t="shared" si="0"/>
        <v>1.1842679999999999</v>
      </c>
      <c r="I101" s="4">
        <f t="shared" si="0"/>
        <v>1.807988</v>
      </c>
      <c r="J101" s="4">
        <f t="shared" si="0"/>
        <v>1.0111</v>
      </c>
      <c r="K101" s="4">
        <f t="shared" si="0"/>
        <v>1.101318</v>
      </c>
      <c r="L101" s="4">
        <f t="shared" si="0"/>
        <v>1.467422</v>
      </c>
      <c r="M101" s="4">
        <f t="shared" si="0"/>
        <v>2.551672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>
        <v>14</v>
      </c>
      <c r="B102" s="4">
        <f>$B$98+($A102-$A$98)*($B$103-$B$98)/($A$103-$A$98)</f>
        <v>1.0920320000000001</v>
      </c>
      <c r="C102" s="4">
        <f t="shared" si="0"/>
        <v>1.659626</v>
      </c>
      <c r="D102" s="4">
        <f t="shared" si="0"/>
        <v>1.045762</v>
      </c>
      <c r="E102" s="4">
        <f t="shared" si="0"/>
        <v>1.3512440000000001</v>
      </c>
      <c r="F102" s="4">
        <f t="shared" si="0"/>
        <v>2.49532</v>
      </c>
      <c r="G102" s="4">
        <f t="shared" si="0"/>
        <v>1.022924</v>
      </c>
      <c r="H102" s="4">
        <f t="shared" si="0"/>
        <v>1.191284</v>
      </c>
      <c r="I102" s="4">
        <f t="shared" si="0"/>
        <v>1.843084</v>
      </c>
      <c r="J102" s="4">
        <f t="shared" si="0"/>
        <v>1.01152</v>
      </c>
      <c r="K102" s="4">
        <f t="shared" si="0"/>
        <v>1.105134</v>
      </c>
      <c r="L102" s="4">
        <f t="shared" si="0"/>
        <v>1.486426</v>
      </c>
      <c r="M102" s="4">
        <f t="shared" si="0"/>
        <v>2.627586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>
        <v>15</v>
      </c>
      <c r="B103" s="4">
        <v>1.09531</v>
      </c>
      <c r="C103" s="4">
        <v>1.686</v>
      </c>
      <c r="D103" s="4">
        <v>1.0474</v>
      </c>
      <c r="E103" s="5">
        <v>1.3645</v>
      </c>
      <c r="F103" s="5">
        <v>2.56378</v>
      </c>
      <c r="G103" s="4">
        <v>1.02375</v>
      </c>
      <c r="H103" s="4">
        <v>1.1983</v>
      </c>
      <c r="I103" s="4">
        <v>1.87818</v>
      </c>
      <c r="J103" s="4">
        <v>1.01194</v>
      </c>
      <c r="K103" s="4">
        <v>1.10895</v>
      </c>
      <c r="L103" s="4">
        <v>1.50543</v>
      </c>
      <c r="M103" s="4">
        <v>2.7035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>
        <v>16</v>
      </c>
      <c r="B104" s="4">
        <f aca="true" t="shared" si="1" ref="B104:M107">B$103+($A104-$A$103)*(B$108-B$103)/($A$108-$A$103)</f>
        <v>1.097768</v>
      </c>
      <c r="C104" s="4">
        <f t="shared" si="1"/>
        <v>1.706408</v>
      </c>
      <c r="D104" s="4">
        <f t="shared" si="1"/>
        <v>1.048632</v>
      </c>
      <c r="E104" s="4">
        <f t="shared" si="1"/>
        <v>1.374594</v>
      </c>
      <c r="F104" s="4">
        <f t="shared" si="1"/>
        <v>2.619058</v>
      </c>
      <c r="G104" s="4">
        <f t="shared" si="1"/>
        <v>1.024376</v>
      </c>
      <c r="H104" s="4">
        <f t="shared" si="1"/>
        <v>1.203608</v>
      </c>
      <c r="I104" s="4">
        <f t="shared" si="1"/>
        <v>1.905706</v>
      </c>
      <c r="J104" s="4">
        <f t="shared" si="1"/>
        <v>1.0122600000000002</v>
      </c>
      <c r="K104" s="4">
        <f t="shared" si="1"/>
        <v>1.11183</v>
      </c>
      <c r="L104" s="4">
        <f t="shared" si="1"/>
        <v>1.520064</v>
      </c>
      <c r="M104" s="4">
        <f t="shared" si="1"/>
        <v>2.765196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>
        <v>17</v>
      </c>
      <c r="B105" s="4">
        <f t="shared" si="1"/>
        <v>1.100226</v>
      </c>
      <c r="C105" s="4">
        <f t="shared" si="1"/>
        <v>1.726816</v>
      </c>
      <c r="D105" s="4">
        <f t="shared" si="1"/>
        <v>1.0498640000000001</v>
      </c>
      <c r="E105" s="4">
        <f t="shared" si="1"/>
        <v>1.3846880000000001</v>
      </c>
      <c r="F105" s="4">
        <f t="shared" si="1"/>
        <v>2.674336</v>
      </c>
      <c r="G105" s="4">
        <f t="shared" si="1"/>
        <v>1.025002</v>
      </c>
      <c r="H105" s="4">
        <f t="shared" si="1"/>
        <v>1.2089159999999999</v>
      </c>
      <c r="I105" s="4">
        <f t="shared" si="1"/>
        <v>1.933232</v>
      </c>
      <c r="J105" s="4">
        <f t="shared" si="1"/>
        <v>1.01258</v>
      </c>
      <c r="K105" s="4">
        <f t="shared" si="1"/>
        <v>1.11471</v>
      </c>
      <c r="L105" s="4">
        <f t="shared" si="1"/>
        <v>1.5346980000000001</v>
      </c>
      <c r="M105" s="4">
        <f t="shared" si="1"/>
        <v>2.826892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>
        <v>18</v>
      </c>
      <c r="B106" s="4">
        <f t="shared" si="1"/>
        <v>1.102684</v>
      </c>
      <c r="C106" s="4">
        <f t="shared" si="1"/>
        <v>1.747224</v>
      </c>
      <c r="D106" s="4">
        <f t="shared" si="1"/>
        <v>1.051096</v>
      </c>
      <c r="E106" s="4">
        <f t="shared" si="1"/>
        <v>1.394782</v>
      </c>
      <c r="F106" s="4">
        <f t="shared" si="1"/>
        <v>2.729614</v>
      </c>
      <c r="G106" s="4">
        <f t="shared" si="1"/>
        <v>1.025628</v>
      </c>
      <c r="H106" s="4">
        <f t="shared" si="1"/>
        <v>1.214224</v>
      </c>
      <c r="I106" s="4">
        <f t="shared" si="1"/>
        <v>1.960758</v>
      </c>
      <c r="J106" s="4">
        <f t="shared" si="1"/>
        <v>1.0129000000000001</v>
      </c>
      <c r="K106" s="4">
        <f t="shared" si="1"/>
        <v>1.11759</v>
      </c>
      <c r="L106" s="4">
        <f t="shared" si="1"/>
        <v>1.549332</v>
      </c>
      <c r="M106" s="4">
        <f t="shared" si="1"/>
        <v>2.888588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>
        <v>19</v>
      </c>
      <c r="B107" s="4">
        <f t="shared" si="1"/>
        <v>1.1051419999999998</v>
      </c>
      <c r="C107" s="4">
        <f t="shared" si="1"/>
        <v>1.767632</v>
      </c>
      <c r="D107" s="4">
        <f t="shared" si="1"/>
        <v>1.0523280000000002</v>
      </c>
      <c r="E107" s="4">
        <f t="shared" si="1"/>
        <v>1.404876</v>
      </c>
      <c r="F107" s="4">
        <f t="shared" si="1"/>
        <v>2.784892</v>
      </c>
      <c r="G107" s="4">
        <f t="shared" si="1"/>
        <v>1.026254</v>
      </c>
      <c r="H107" s="4">
        <f t="shared" si="1"/>
        <v>1.2195319999999998</v>
      </c>
      <c r="I107" s="4">
        <f t="shared" si="1"/>
        <v>1.9882840000000002</v>
      </c>
      <c r="J107" s="4">
        <f t="shared" si="1"/>
        <v>1.01322</v>
      </c>
      <c r="K107" s="4">
        <f t="shared" si="1"/>
        <v>1.12047</v>
      </c>
      <c r="L107" s="4">
        <f t="shared" si="1"/>
        <v>1.563966</v>
      </c>
      <c r="M107" s="4">
        <f t="shared" si="1"/>
        <v>2.950284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>
        <v>20</v>
      </c>
      <c r="B108" s="4">
        <v>1.1076</v>
      </c>
      <c r="C108" s="4">
        <v>1.78804</v>
      </c>
      <c r="D108" s="4">
        <v>1.05356</v>
      </c>
      <c r="E108" s="5">
        <v>1.41497</v>
      </c>
      <c r="F108" s="5">
        <v>2.84017</v>
      </c>
      <c r="G108" s="4">
        <v>1.02688</v>
      </c>
      <c r="H108" s="4">
        <v>1.22484</v>
      </c>
      <c r="I108" s="4">
        <v>2.01581</v>
      </c>
      <c r="J108" s="4">
        <v>1.01354</v>
      </c>
      <c r="K108" s="4">
        <v>1.12335</v>
      </c>
      <c r="L108" s="4">
        <v>1.5786</v>
      </c>
      <c r="M108" s="4">
        <v>3.01198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>
        <v>21</v>
      </c>
      <c r="B109" s="4">
        <f aca="true" t="shared" si="2" ref="B109:M112">B$108+($A109-$A$108)*(B$113-B$108)/($A$113-$A$108)</f>
        <v>1.109586</v>
      </c>
      <c r="C109" s="4">
        <f t="shared" si="2"/>
        <v>1.804934</v>
      </c>
      <c r="D109" s="4">
        <f t="shared" si="2"/>
        <v>1.054558</v>
      </c>
      <c r="E109" s="4">
        <f t="shared" si="2"/>
        <v>1.423232</v>
      </c>
      <c r="F109" s="4">
        <f t="shared" si="2"/>
        <v>2.887378</v>
      </c>
      <c r="G109" s="4">
        <f t="shared" si="2"/>
        <v>1.027388</v>
      </c>
      <c r="H109" s="4">
        <f t="shared" si="2"/>
        <v>1.2291619999999999</v>
      </c>
      <c r="I109" s="4">
        <f t="shared" si="2"/>
        <v>2.0388260000000002</v>
      </c>
      <c r="J109" s="4">
        <f t="shared" si="2"/>
        <v>1.0138</v>
      </c>
      <c r="K109" s="4">
        <f t="shared" si="2"/>
        <v>1.125694</v>
      </c>
      <c r="L109" s="4">
        <f t="shared" si="2"/>
        <v>1.590658</v>
      </c>
      <c r="M109" s="4">
        <f t="shared" si="2"/>
        <v>3.0649159999999998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>
        <v>22</v>
      </c>
      <c r="B110" s="4">
        <f t="shared" si="2"/>
        <v>1.111572</v>
      </c>
      <c r="C110" s="4">
        <f t="shared" si="2"/>
        <v>1.821828</v>
      </c>
      <c r="D110" s="4">
        <f t="shared" si="2"/>
        <v>1.0555560000000002</v>
      </c>
      <c r="E110" s="4">
        <f t="shared" si="2"/>
        <v>1.431494</v>
      </c>
      <c r="F110" s="4">
        <f t="shared" si="2"/>
        <v>2.934586</v>
      </c>
      <c r="G110" s="4">
        <f t="shared" si="2"/>
        <v>1.027896</v>
      </c>
      <c r="H110" s="4">
        <f t="shared" si="2"/>
        <v>1.233484</v>
      </c>
      <c r="I110" s="4">
        <f t="shared" si="2"/>
        <v>2.061842</v>
      </c>
      <c r="J110" s="4">
        <f t="shared" si="2"/>
        <v>1.01406</v>
      </c>
      <c r="K110" s="4">
        <f t="shared" si="2"/>
        <v>1.128038</v>
      </c>
      <c r="L110" s="4">
        <f t="shared" si="2"/>
        <v>1.602716</v>
      </c>
      <c r="M110" s="4">
        <f t="shared" si="2"/>
        <v>3.117852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>
        <v>23</v>
      </c>
      <c r="B111" s="4">
        <f t="shared" si="2"/>
        <v>1.1135579999999998</v>
      </c>
      <c r="C111" s="4">
        <f t="shared" si="2"/>
        <v>1.838722</v>
      </c>
      <c r="D111" s="4">
        <f t="shared" si="2"/>
        <v>1.056554</v>
      </c>
      <c r="E111" s="4">
        <f t="shared" si="2"/>
        <v>1.439756</v>
      </c>
      <c r="F111" s="4">
        <f t="shared" si="2"/>
        <v>2.9817940000000003</v>
      </c>
      <c r="G111" s="4">
        <f t="shared" si="2"/>
        <v>1.028404</v>
      </c>
      <c r="H111" s="4">
        <f t="shared" si="2"/>
        <v>1.237806</v>
      </c>
      <c r="I111" s="4">
        <f t="shared" si="2"/>
        <v>2.084858</v>
      </c>
      <c r="J111" s="4">
        <f t="shared" si="2"/>
        <v>1.01432</v>
      </c>
      <c r="K111" s="4">
        <f t="shared" si="2"/>
        <v>1.130382</v>
      </c>
      <c r="L111" s="4">
        <f t="shared" si="2"/>
        <v>1.614774</v>
      </c>
      <c r="M111" s="4">
        <f t="shared" si="2"/>
        <v>3.170788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>
        <v>24</v>
      </c>
      <c r="B112" s="4">
        <f t="shared" si="2"/>
        <v>1.1155439999999999</v>
      </c>
      <c r="C112" s="4">
        <f t="shared" si="2"/>
        <v>1.855616</v>
      </c>
      <c r="D112" s="4">
        <f t="shared" si="2"/>
        <v>1.057552</v>
      </c>
      <c r="E112" s="4">
        <f t="shared" si="2"/>
        <v>1.448018</v>
      </c>
      <c r="F112" s="4">
        <f t="shared" si="2"/>
        <v>3.029002</v>
      </c>
      <c r="G112" s="4">
        <f t="shared" si="2"/>
        <v>1.028912</v>
      </c>
      <c r="H112" s="4">
        <f t="shared" si="2"/>
        <v>1.2421280000000001</v>
      </c>
      <c r="I112" s="4">
        <f t="shared" si="2"/>
        <v>2.107874</v>
      </c>
      <c r="J112" s="4">
        <f t="shared" si="2"/>
        <v>1.01458</v>
      </c>
      <c r="K112" s="4">
        <f t="shared" si="2"/>
        <v>1.1327260000000001</v>
      </c>
      <c r="L112" s="4">
        <f t="shared" si="2"/>
        <v>1.626832</v>
      </c>
      <c r="M112" s="4">
        <f t="shared" si="2"/>
        <v>3.2237240000000003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>
        <v>25</v>
      </c>
      <c r="B113" s="4">
        <v>1.11753</v>
      </c>
      <c r="C113" s="4">
        <v>1.87251</v>
      </c>
      <c r="D113" s="4">
        <v>1.05855</v>
      </c>
      <c r="E113" s="5">
        <v>1.45628</v>
      </c>
      <c r="F113" s="5">
        <v>3.07621</v>
      </c>
      <c r="G113" s="4">
        <v>1.02942</v>
      </c>
      <c r="H113" s="4">
        <v>1.24645</v>
      </c>
      <c r="I113" s="4">
        <v>2.13089</v>
      </c>
      <c r="J113" s="4">
        <v>1.01484</v>
      </c>
      <c r="K113" s="4">
        <v>1.13507</v>
      </c>
      <c r="L113" s="4">
        <v>1.63889</v>
      </c>
      <c r="M113" s="4">
        <v>3.27666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>
        <v>26</v>
      </c>
      <c r="B114" s="4">
        <f aca="true" t="shared" si="3" ref="B114:M117">B$113+($A114-$A$113)*(B$118-B$113)/($A$118-$A$113)</f>
        <v>1.119208</v>
      </c>
      <c r="C114" s="4">
        <f t="shared" si="3"/>
        <v>1.8870559999999998</v>
      </c>
      <c r="D114" s="4">
        <f t="shared" si="3"/>
        <v>1.0593940000000002</v>
      </c>
      <c r="E114" s="4">
        <f t="shared" si="3"/>
        <v>1.463328</v>
      </c>
      <c r="F114" s="4">
        <f t="shared" si="3"/>
        <v>3.117864</v>
      </c>
      <c r="G114" s="4">
        <f t="shared" si="3"/>
        <v>1.029852</v>
      </c>
      <c r="H114" s="4">
        <f t="shared" si="3"/>
        <v>1.250124</v>
      </c>
      <c r="I114" s="4">
        <f t="shared" si="3"/>
        <v>2.150872</v>
      </c>
      <c r="J114" s="4">
        <f t="shared" si="3"/>
        <v>1.01506</v>
      </c>
      <c r="K114" s="4">
        <f t="shared" si="3"/>
        <v>1.13706</v>
      </c>
      <c r="L114" s="4">
        <f t="shared" si="3"/>
        <v>1.649286</v>
      </c>
      <c r="M114" s="4">
        <f t="shared" si="3"/>
        <v>3.32355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>
        <v>27</v>
      </c>
      <c r="B115" s="4">
        <f t="shared" si="3"/>
        <v>1.120886</v>
      </c>
      <c r="C115" s="4">
        <f t="shared" si="3"/>
        <v>1.901602</v>
      </c>
      <c r="D115" s="4">
        <f t="shared" si="3"/>
        <v>1.060238</v>
      </c>
      <c r="E115" s="4">
        <f t="shared" si="3"/>
        <v>1.470376</v>
      </c>
      <c r="F115" s="4">
        <f t="shared" si="3"/>
        <v>3.159518</v>
      </c>
      <c r="G115" s="4">
        <f t="shared" si="3"/>
        <v>1.030284</v>
      </c>
      <c r="H115" s="4">
        <f t="shared" si="3"/>
        <v>1.253798</v>
      </c>
      <c r="I115" s="4">
        <f t="shared" si="3"/>
        <v>2.170854</v>
      </c>
      <c r="J115" s="4">
        <f t="shared" si="3"/>
        <v>1.01528</v>
      </c>
      <c r="K115" s="4">
        <f t="shared" si="3"/>
        <v>1.13905</v>
      </c>
      <c r="L115" s="4">
        <f t="shared" si="3"/>
        <v>1.659682</v>
      </c>
      <c r="M115" s="4">
        <f t="shared" si="3"/>
        <v>3.37044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>
        <v>28</v>
      </c>
      <c r="B116" s="4">
        <f t="shared" si="3"/>
        <v>1.122564</v>
      </c>
      <c r="C116" s="4">
        <f t="shared" si="3"/>
        <v>1.916148</v>
      </c>
      <c r="D116" s="4">
        <f t="shared" si="3"/>
        <v>1.061082</v>
      </c>
      <c r="E116" s="4">
        <f t="shared" si="3"/>
        <v>1.477424</v>
      </c>
      <c r="F116" s="4">
        <f t="shared" si="3"/>
        <v>3.201172</v>
      </c>
      <c r="G116" s="4">
        <f t="shared" si="3"/>
        <v>1.030716</v>
      </c>
      <c r="H116" s="4">
        <f t="shared" si="3"/>
        <v>1.2574720000000001</v>
      </c>
      <c r="I116" s="4">
        <f t="shared" si="3"/>
        <v>2.190836</v>
      </c>
      <c r="J116" s="4">
        <f t="shared" si="3"/>
        <v>1.0155</v>
      </c>
      <c r="K116" s="4">
        <f t="shared" si="3"/>
        <v>1.14104</v>
      </c>
      <c r="L116" s="4">
        <f t="shared" si="3"/>
        <v>1.670078</v>
      </c>
      <c r="M116" s="4">
        <f t="shared" si="3"/>
        <v>3.41733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>
        <v>29</v>
      </c>
      <c r="B117" s="4">
        <f t="shared" si="3"/>
        <v>1.124242</v>
      </c>
      <c r="C117" s="4">
        <f t="shared" si="3"/>
        <v>1.9306940000000001</v>
      </c>
      <c r="D117" s="4">
        <f t="shared" si="3"/>
        <v>1.061926</v>
      </c>
      <c r="E117" s="4">
        <f t="shared" si="3"/>
        <v>1.484472</v>
      </c>
      <c r="F117" s="4">
        <f t="shared" si="3"/>
        <v>3.242826</v>
      </c>
      <c r="G117" s="4">
        <f t="shared" si="3"/>
        <v>1.031148</v>
      </c>
      <c r="H117" s="4">
        <f t="shared" si="3"/>
        <v>1.261146</v>
      </c>
      <c r="I117" s="4">
        <f t="shared" si="3"/>
        <v>2.2108179999999997</v>
      </c>
      <c r="J117" s="4">
        <f t="shared" si="3"/>
        <v>1.01572</v>
      </c>
      <c r="K117" s="4">
        <f t="shared" si="3"/>
        <v>1.14303</v>
      </c>
      <c r="L117" s="4">
        <f t="shared" si="3"/>
        <v>1.680474</v>
      </c>
      <c r="M117" s="4">
        <f t="shared" si="3"/>
        <v>3.46422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>
        <v>30</v>
      </c>
      <c r="B118" s="4">
        <v>1.12592</v>
      </c>
      <c r="C118" s="4">
        <v>1.94524</v>
      </c>
      <c r="D118" s="4">
        <v>1.06277</v>
      </c>
      <c r="E118" s="5">
        <v>1.49152</v>
      </c>
      <c r="F118" s="5">
        <v>3.28448</v>
      </c>
      <c r="G118" s="4">
        <v>1.03158</v>
      </c>
      <c r="H118" s="4">
        <v>1.26482</v>
      </c>
      <c r="I118" s="4">
        <v>2.2308</v>
      </c>
      <c r="J118" s="4">
        <v>1.01594</v>
      </c>
      <c r="K118" s="4">
        <v>1.14502</v>
      </c>
      <c r="L118" s="4">
        <v>1.69087</v>
      </c>
      <c r="M118" s="4">
        <v>3.51111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>
        <v>31</v>
      </c>
      <c r="B119" s="4">
        <f aca="true" t="shared" si="4" ref="B119:M122">B$118+($A119-$A$118)*(B$123-B$118)/($A$123-$A$118)</f>
        <v>1.12738</v>
      </c>
      <c r="C119" s="4">
        <f t="shared" si="4"/>
        <v>1.9580920000000002</v>
      </c>
      <c r="D119" s="4">
        <f t="shared" si="4"/>
        <v>1.063508</v>
      </c>
      <c r="E119" s="4">
        <f t="shared" si="4"/>
        <v>1.4977019999999999</v>
      </c>
      <c r="F119" s="4">
        <f t="shared" si="4"/>
        <v>3.32203</v>
      </c>
      <c r="G119" s="4">
        <f t="shared" si="4"/>
        <v>1.031958</v>
      </c>
      <c r="H119" s="4">
        <f t="shared" si="4"/>
        <v>1.26803</v>
      </c>
      <c r="I119" s="4">
        <f t="shared" si="4"/>
        <v>2.24857</v>
      </c>
      <c r="J119" s="4">
        <f t="shared" si="4"/>
        <v>1.0161360000000002</v>
      </c>
      <c r="K119" s="4">
        <f t="shared" si="4"/>
        <v>1.146758</v>
      </c>
      <c r="L119" s="4">
        <f t="shared" si="4"/>
        <v>1.700018</v>
      </c>
      <c r="M119" s="4">
        <f t="shared" si="4"/>
        <v>3.5535039999999998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>
        <v>32</v>
      </c>
      <c r="B120" s="4">
        <f t="shared" si="4"/>
        <v>1.12884</v>
      </c>
      <c r="C120" s="4">
        <f t="shared" si="4"/>
        <v>1.970944</v>
      </c>
      <c r="D120" s="4">
        <f t="shared" si="4"/>
        <v>1.064246</v>
      </c>
      <c r="E120" s="4">
        <f t="shared" si="4"/>
        <v>1.503884</v>
      </c>
      <c r="F120" s="4">
        <f t="shared" si="4"/>
        <v>3.35958</v>
      </c>
      <c r="G120" s="4">
        <f t="shared" si="4"/>
        <v>1.032336</v>
      </c>
      <c r="H120" s="4">
        <f t="shared" si="4"/>
        <v>1.27124</v>
      </c>
      <c r="I120" s="4">
        <f t="shared" si="4"/>
        <v>2.26634</v>
      </c>
      <c r="J120" s="4">
        <f t="shared" si="4"/>
        <v>1.016332</v>
      </c>
      <c r="K120" s="4">
        <f t="shared" si="4"/>
        <v>1.148496</v>
      </c>
      <c r="L120" s="4">
        <f t="shared" si="4"/>
        <v>1.709166</v>
      </c>
      <c r="M120" s="4">
        <f t="shared" si="4"/>
        <v>3.595898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>
        <v>33</v>
      </c>
      <c r="B121" s="4">
        <f t="shared" si="4"/>
        <v>1.1302999999999999</v>
      </c>
      <c r="C121" s="4">
        <f t="shared" si="4"/>
        <v>1.9837960000000001</v>
      </c>
      <c r="D121" s="4">
        <f t="shared" si="4"/>
        <v>1.064984</v>
      </c>
      <c r="E121" s="4">
        <f t="shared" si="4"/>
        <v>1.510066</v>
      </c>
      <c r="F121" s="4">
        <f t="shared" si="4"/>
        <v>3.39713</v>
      </c>
      <c r="G121" s="4">
        <f t="shared" si="4"/>
        <v>1.0327140000000001</v>
      </c>
      <c r="H121" s="4">
        <f t="shared" si="4"/>
        <v>1.27445</v>
      </c>
      <c r="I121" s="4">
        <f t="shared" si="4"/>
        <v>2.28411</v>
      </c>
      <c r="J121" s="4">
        <f t="shared" si="4"/>
        <v>1.016528</v>
      </c>
      <c r="K121" s="4">
        <f t="shared" si="4"/>
        <v>1.150234</v>
      </c>
      <c r="L121" s="4">
        <f t="shared" si="4"/>
        <v>1.7183140000000001</v>
      </c>
      <c r="M121" s="4">
        <f t="shared" si="4"/>
        <v>3.638292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>
        <v>34</v>
      </c>
      <c r="B122" s="4">
        <f t="shared" si="4"/>
        <v>1.1317599999999999</v>
      </c>
      <c r="C122" s="4">
        <f t="shared" si="4"/>
        <v>1.996648</v>
      </c>
      <c r="D122" s="4">
        <f t="shared" si="4"/>
        <v>1.065722</v>
      </c>
      <c r="E122" s="4">
        <f t="shared" si="4"/>
        <v>1.516248</v>
      </c>
      <c r="F122" s="4">
        <f t="shared" si="4"/>
        <v>3.43468</v>
      </c>
      <c r="G122" s="4">
        <f t="shared" si="4"/>
        <v>1.0330920000000001</v>
      </c>
      <c r="H122" s="4">
        <f t="shared" si="4"/>
        <v>1.27766</v>
      </c>
      <c r="I122" s="4">
        <f t="shared" si="4"/>
        <v>2.30188</v>
      </c>
      <c r="J122" s="4">
        <f t="shared" si="4"/>
        <v>1.016724</v>
      </c>
      <c r="K122" s="4">
        <f t="shared" si="4"/>
        <v>1.151972</v>
      </c>
      <c r="L122" s="4">
        <f t="shared" si="4"/>
        <v>1.727462</v>
      </c>
      <c r="M122" s="4">
        <f t="shared" si="4"/>
        <v>3.680686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>
        <v>35</v>
      </c>
      <c r="B123" s="4">
        <v>1.13322</v>
      </c>
      <c r="C123" s="4">
        <v>2.0095</v>
      </c>
      <c r="D123" s="4">
        <v>1.06646</v>
      </c>
      <c r="E123" s="5">
        <v>1.52243</v>
      </c>
      <c r="F123" s="5">
        <v>3.47223</v>
      </c>
      <c r="G123" s="4">
        <v>1.03347</v>
      </c>
      <c r="H123" s="4">
        <v>1.28087</v>
      </c>
      <c r="I123" s="4">
        <v>2.31965</v>
      </c>
      <c r="J123" s="4">
        <v>1.01692</v>
      </c>
      <c r="K123" s="4">
        <v>1.15371</v>
      </c>
      <c r="L123" s="4">
        <v>1.73661</v>
      </c>
      <c r="M123" s="4">
        <v>3.72308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>
        <v>36</v>
      </c>
      <c r="B124" s="4">
        <f aca="true" t="shared" si="5" ref="B124:M127">B$123+($A124-$A$123)*(B$128-B$123)/($A$128-$A$123)</f>
        <v>1.134514</v>
      </c>
      <c r="C124" s="4">
        <f t="shared" si="5"/>
        <v>2.021058</v>
      </c>
      <c r="D124" s="4">
        <f t="shared" si="5"/>
        <v>1.067114</v>
      </c>
      <c r="E124" s="4">
        <f t="shared" si="5"/>
        <v>1.5279559999999999</v>
      </c>
      <c r="F124" s="4">
        <f t="shared" si="5"/>
        <v>3.5065980000000003</v>
      </c>
      <c r="G124" s="4">
        <f t="shared" si="5"/>
        <v>1.033806</v>
      </c>
      <c r="H124" s="4">
        <f t="shared" si="5"/>
        <v>1.2837319999999999</v>
      </c>
      <c r="I124" s="4">
        <f t="shared" si="5"/>
        <v>2.335728</v>
      </c>
      <c r="J124" s="4">
        <f t="shared" si="5"/>
        <v>1.017092</v>
      </c>
      <c r="K124" s="4">
        <f t="shared" si="5"/>
        <v>1.15526</v>
      </c>
      <c r="L124" s="4">
        <f t="shared" si="5"/>
        <v>1.744828</v>
      </c>
      <c r="M124" s="4">
        <f t="shared" si="5"/>
        <v>3.761988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>
        <v>37</v>
      </c>
      <c r="B125" s="4">
        <f t="shared" si="5"/>
        <v>1.135808</v>
      </c>
      <c r="C125" s="4">
        <f t="shared" si="5"/>
        <v>2.032616</v>
      </c>
      <c r="D125" s="4">
        <f t="shared" si="5"/>
        <v>1.067768</v>
      </c>
      <c r="E125" s="4">
        <f t="shared" si="5"/>
        <v>1.533482</v>
      </c>
      <c r="F125" s="4">
        <f t="shared" si="5"/>
        <v>3.540966</v>
      </c>
      <c r="G125" s="4">
        <f t="shared" si="5"/>
        <v>1.0341420000000001</v>
      </c>
      <c r="H125" s="4">
        <f t="shared" si="5"/>
        <v>1.286594</v>
      </c>
      <c r="I125" s="4">
        <f t="shared" si="5"/>
        <v>2.3518060000000003</v>
      </c>
      <c r="J125" s="4">
        <f t="shared" si="5"/>
        <v>1.017264</v>
      </c>
      <c r="K125" s="4">
        <f t="shared" si="5"/>
        <v>1.15681</v>
      </c>
      <c r="L125" s="4">
        <f t="shared" si="5"/>
        <v>1.753046</v>
      </c>
      <c r="M125" s="4">
        <f t="shared" si="5"/>
        <v>3.800896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>
        <v>38</v>
      </c>
      <c r="B126" s="4">
        <f t="shared" si="5"/>
        <v>1.137102</v>
      </c>
      <c r="C126" s="4">
        <f t="shared" si="5"/>
        <v>2.044174</v>
      </c>
      <c r="D126" s="4">
        <f t="shared" si="5"/>
        <v>1.068422</v>
      </c>
      <c r="E126" s="4">
        <f t="shared" si="5"/>
        <v>1.539008</v>
      </c>
      <c r="F126" s="4">
        <f t="shared" si="5"/>
        <v>3.5753340000000002</v>
      </c>
      <c r="G126" s="4">
        <f t="shared" si="5"/>
        <v>1.034478</v>
      </c>
      <c r="H126" s="4">
        <f t="shared" si="5"/>
        <v>1.289456</v>
      </c>
      <c r="I126" s="4">
        <f t="shared" si="5"/>
        <v>2.367884</v>
      </c>
      <c r="J126" s="4">
        <f t="shared" si="5"/>
        <v>1.017436</v>
      </c>
      <c r="K126" s="4">
        <f t="shared" si="5"/>
        <v>1.15836</v>
      </c>
      <c r="L126" s="4">
        <f t="shared" si="5"/>
        <v>1.761264</v>
      </c>
      <c r="M126" s="4">
        <f t="shared" si="5"/>
        <v>3.839804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>
        <v>39</v>
      </c>
      <c r="B127" s="4">
        <f t="shared" si="5"/>
        <v>1.138396</v>
      </c>
      <c r="C127" s="4">
        <f t="shared" si="5"/>
        <v>2.055732</v>
      </c>
      <c r="D127" s="4">
        <f t="shared" si="5"/>
        <v>1.0690760000000001</v>
      </c>
      <c r="E127" s="4">
        <f t="shared" si="5"/>
        <v>1.544534</v>
      </c>
      <c r="F127" s="4">
        <f t="shared" si="5"/>
        <v>3.609702</v>
      </c>
      <c r="G127" s="4">
        <f t="shared" si="5"/>
        <v>1.0348140000000001</v>
      </c>
      <c r="H127" s="4">
        <f t="shared" si="5"/>
        <v>1.292318</v>
      </c>
      <c r="I127" s="4">
        <f t="shared" si="5"/>
        <v>2.3839620000000004</v>
      </c>
      <c r="J127" s="4">
        <f t="shared" si="5"/>
        <v>1.0176079999999998</v>
      </c>
      <c r="K127" s="4">
        <f t="shared" si="5"/>
        <v>1.15991</v>
      </c>
      <c r="L127" s="4">
        <f t="shared" si="5"/>
        <v>1.769482</v>
      </c>
      <c r="M127" s="4">
        <f t="shared" si="5"/>
        <v>3.8787119999999997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>
        <v>40</v>
      </c>
      <c r="B128" s="4">
        <v>1.13969</v>
      </c>
      <c r="C128" s="4">
        <v>2.06729</v>
      </c>
      <c r="D128" s="4">
        <v>1.06973</v>
      </c>
      <c r="E128" s="5">
        <v>1.55006</v>
      </c>
      <c r="F128" s="5">
        <v>3.64407</v>
      </c>
      <c r="G128" s="4">
        <v>1.03515</v>
      </c>
      <c r="H128" s="4">
        <v>1.29518</v>
      </c>
      <c r="I128" s="4">
        <v>2.40004</v>
      </c>
      <c r="J128" s="4">
        <v>1.01778</v>
      </c>
      <c r="K128" s="4">
        <v>1.16146</v>
      </c>
      <c r="L128" s="4">
        <v>1.7777</v>
      </c>
      <c r="M128" s="4">
        <v>3.91762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>
        <v>41</v>
      </c>
      <c r="B129" s="4">
        <f aca="true" t="shared" si="6" ref="B129:M132">B$128+($A129-$A$128)*(B$133-B$128)/($A$133-$A$128)</f>
        <v>1.140856</v>
      </c>
      <c r="C129" s="4">
        <f t="shared" si="6"/>
        <v>2.077832</v>
      </c>
      <c r="D129" s="4">
        <f t="shared" si="6"/>
        <v>1.0703200000000002</v>
      </c>
      <c r="E129" s="4">
        <f t="shared" si="6"/>
        <v>1.555068</v>
      </c>
      <c r="F129" s="4">
        <f t="shared" si="6"/>
        <v>3.675878</v>
      </c>
      <c r="G129" s="4">
        <f t="shared" si="6"/>
        <v>1.035454</v>
      </c>
      <c r="H129" s="4">
        <f t="shared" si="6"/>
        <v>1.297768</v>
      </c>
      <c r="I129" s="4">
        <f t="shared" si="6"/>
        <v>2.4147760000000003</v>
      </c>
      <c r="J129" s="4">
        <f t="shared" si="6"/>
        <v>1.017938</v>
      </c>
      <c r="K129" s="4">
        <f t="shared" si="6"/>
        <v>1.162858</v>
      </c>
      <c r="L129" s="4">
        <f t="shared" si="6"/>
        <v>1.785186</v>
      </c>
      <c r="M129" s="4">
        <f t="shared" si="6"/>
        <v>3.953722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>
        <v>42</v>
      </c>
      <c r="B130" s="4">
        <f t="shared" si="6"/>
        <v>1.142022</v>
      </c>
      <c r="C130" s="4">
        <f t="shared" si="6"/>
        <v>2.088374</v>
      </c>
      <c r="D130" s="4">
        <f t="shared" si="6"/>
        <v>1.07091</v>
      </c>
      <c r="E130" s="4">
        <f t="shared" si="6"/>
        <v>1.560076</v>
      </c>
      <c r="F130" s="4">
        <f t="shared" si="6"/>
        <v>3.7076860000000003</v>
      </c>
      <c r="G130" s="4">
        <f t="shared" si="6"/>
        <v>1.035758</v>
      </c>
      <c r="H130" s="4">
        <f t="shared" si="6"/>
        <v>1.300356</v>
      </c>
      <c r="I130" s="4">
        <f t="shared" si="6"/>
        <v>2.4295120000000003</v>
      </c>
      <c r="J130" s="4">
        <f t="shared" si="6"/>
        <v>1.018096</v>
      </c>
      <c r="K130" s="4">
        <f t="shared" si="6"/>
        <v>1.164256</v>
      </c>
      <c r="L130" s="4">
        <f t="shared" si="6"/>
        <v>1.792672</v>
      </c>
      <c r="M130" s="4">
        <f t="shared" si="6"/>
        <v>3.989824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>
        <v>43</v>
      </c>
      <c r="B131" s="4">
        <f t="shared" si="6"/>
        <v>1.143188</v>
      </c>
      <c r="C131" s="4">
        <f t="shared" si="6"/>
        <v>2.098916</v>
      </c>
      <c r="D131" s="4">
        <f t="shared" si="6"/>
        <v>1.0715000000000001</v>
      </c>
      <c r="E131" s="4">
        <f t="shared" si="6"/>
        <v>1.565084</v>
      </c>
      <c r="F131" s="4">
        <f t="shared" si="6"/>
        <v>3.739494</v>
      </c>
      <c r="G131" s="4">
        <f t="shared" si="6"/>
        <v>1.036062</v>
      </c>
      <c r="H131" s="4">
        <f t="shared" si="6"/>
        <v>1.3029439999999999</v>
      </c>
      <c r="I131" s="4">
        <f t="shared" si="6"/>
        <v>2.444248</v>
      </c>
      <c r="J131" s="4">
        <f t="shared" si="6"/>
        <v>1.018254</v>
      </c>
      <c r="K131" s="4">
        <f t="shared" si="6"/>
        <v>1.165654</v>
      </c>
      <c r="L131" s="4">
        <f t="shared" si="6"/>
        <v>1.800158</v>
      </c>
      <c r="M131" s="4">
        <f t="shared" si="6"/>
        <v>4.025926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>
        <v>44</v>
      </c>
      <c r="B132" s="4">
        <f t="shared" si="6"/>
        <v>1.144354</v>
      </c>
      <c r="C132" s="4">
        <f t="shared" si="6"/>
        <v>2.109458</v>
      </c>
      <c r="D132" s="4">
        <f t="shared" si="6"/>
        <v>1.07209</v>
      </c>
      <c r="E132" s="4">
        <f t="shared" si="6"/>
        <v>1.570092</v>
      </c>
      <c r="F132" s="4">
        <f t="shared" si="6"/>
        <v>3.7713020000000004</v>
      </c>
      <c r="G132" s="4">
        <f t="shared" si="6"/>
        <v>1.036366</v>
      </c>
      <c r="H132" s="4">
        <f t="shared" si="6"/>
        <v>1.305532</v>
      </c>
      <c r="I132" s="4">
        <f t="shared" si="6"/>
        <v>2.458984</v>
      </c>
      <c r="J132" s="4">
        <f t="shared" si="6"/>
        <v>1.0184119999999999</v>
      </c>
      <c r="K132" s="4">
        <f t="shared" si="6"/>
        <v>1.167052</v>
      </c>
      <c r="L132" s="4">
        <f t="shared" si="6"/>
        <v>1.807644</v>
      </c>
      <c r="M132" s="4">
        <f t="shared" si="6"/>
        <v>4.062028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>
        <v>45</v>
      </c>
      <c r="B133" s="4">
        <v>1.14552</v>
      </c>
      <c r="C133" s="4">
        <v>2.12</v>
      </c>
      <c r="D133" s="4">
        <v>1.07268</v>
      </c>
      <c r="E133" s="5">
        <v>1.5751</v>
      </c>
      <c r="F133" s="5">
        <v>3.80311</v>
      </c>
      <c r="G133" s="4">
        <v>1.03667</v>
      </c>
      <c r="H133" s="4">
        <v>1.30812</v>
      </c>
      <c r="I133" s="4">
        <v>2.47372</v>
      </c>
      <c r="J133" s="4">
        <v>1.01857</v>
      </c>
      <c r="K133" s="4">
        <v>1.16845</v>
      </c>
      <c r="L133" s="4">
        <v>1.81513</v>
      </c>
      <c r="M133" s="4">
        <v>4.09813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>
        <v>46</v>
      </c>
      <c r="B134" s="4">
        <f aca="true" t="shared" si="7" ref="B134:M137">B$133+($A134-$A$133)*(B$138-B$133)/($A$138-$A$133)</f>
        <v>1.146584</v>
      </c>
      <c r="C134" s="4">
        <f t="shared" si="7"/>
        <v>2.129712</v>
      </c>
      <c r="D134" s="4">
        <f t="shared" si="7"/>
        <v>1.07322</v>
      </c>
      <c r="E134" s="4">
        <f t="shared" si="7"/>
        <v>1.579694</v>
      </c>
      <c r="F134" s="4">
        <f t="shared" si="7"/>
        <v>3.832812</v>
      </c>
      <c r="G134" s="4">
        <f t="shared" si="7"/>
        <v>1.036946</v>
      </c>
      <c r="H134" s="4">
        <f t="shared" si="7"/>
        <v>1.3104879999999999</v>
      </c>
      <c r="I134" s="4">
        <f t="shared" si="7"/>
        <v>2.4873600000000002</v>
      </c>
      <c r="J134" s="4">
        <f t="shared" si="7"/>
        <v>1.018712</v>
      </c>
      <c r="K134" s="4">
        <f t="shared" si="7"/>
        <v>1.16973</v>
      </c>
      <c r="L134" s="4">
        <f t="shared" si="7"/>
        <v>1.82202</v>
      </c>
      <c r="M134" s="4">
        <f t="shared" si="7"/>
        <v>4.131906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>
        <v>47</v>
      </c>
      <c r="B135" s="4">
        <f t="shared" si="7"/>
        <v>1.147648</v>
      </c>
      <c r="C135" s="4">
        <f t="shared" si="7"/>
        <v>2.139424</v>
      </c>
      <c r="D135" s="4">
        <f t="shared" si="7"/>
        <v>1.07376</v>
      </c>
      <c r="E135" s="4">
        <f t="shared" si="7"/>
        <v>1.584288</v>
      </c>
      <c r="F135" s="4">
        <f t="shared" si="7"/>
        <v>3.862514</v>
      </c>
      <c r="G135" s="4">
        <f t="shared" si="7"/>
        <v>1.0372219999999999</v>
      </c>
      <c r="H135" s="4">
        <f t="shared" si="7"/>
        <v>1.312856</v>
      </c>
      <c r="I135" s="4">
        <f t="shared" si="7"/>
        <v>2.5010000000000003</v>
      </c>
      <c r="J135" s="4">
        <f t="shared" si="7"/>
        <v>1.018854</v>
      </c>
      <c r="K135" s="4">
        <f t="shared" si="7"/>
        <v>1.1710099999999999</v>
      </c>
      <c r="L135" s="4">
        <f t="shared" si="7"/>
        <v>1.82891</v>
      </c>
      <c r="M135" s="4">
        <f t="shared" si="7"/>
        <v>4.165682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>
        <v>48</v>
      </c>
      <c r="B136" s="4">
        <f t="shared" si="7"/>
        <v>1.1487120000000002</v>
      </c>
      <c r="C136" s="4">
        <f t="shared" si="7"/>
        <v>2.149136</v>
      </c>
      <c r="D136" s="4">
        <f t="shared" si="7"/>
        <v>1.0743</v>
      </c>
      <c r="E136" s="4">
        <f t="shared" si="7"/>
        <v>1.5888820000000001</v>
      </c>
      <c r="F136" s="4">
        <f t="shared" si="7"/>
        <v>3.8922160000000003</v>
      </c>
      <c r="G136" s="4">
        <f t="shared" si="7"/>
        <v>1.037498</v>
      </c>
      <c r="H136" s="4">
        <f t="shared" si="7"/>
        <v>1.315224</v>
      </c>
      <c r="I136" s="4">
        <f t="shared" si="7"/>
        <v>2.51464</v>
      </c>
      <c r="J136" s="4">
        <f t="shared" si="7"/>
        <v>1.018996</v>
      </c>
      <c r="K136" s="4">
        <f t="shared" si="7"/>
        <v>1.17229</v>
      </c>
      <c r="L136" s="4">
        <f t="shared" si="7"/>
        <v>1.8357999999999999</v>
      </c>
      <c r="M136" s="4">
        <f t="shared" si="7"/>
        <v>4.199458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>
        <v>49</v>
      </c>
      <c r="B137" s="4">
        <f t="shared" si="7"/>
        <v>1.1497760000000001</v>
      </c>
      <c r="C137" s="4">
        <f t="shared" si="7"/>
        <v>2.158848</v>
      </c>
      <c r="D137" s="4">
        <f t="shared" si="7"/>
        <v>1.07484</v>
      </c>
      <c r="E137" s="4">
        <f t="shared" si="7"/>
        <v>1.5934760000000001</v>
      </c>
      <c r="F137" s="4">
        <f t="shared" si="7"/>
        <v>3.9219180000000002</v>
      </c>
      <c r="G137" s="4">
        <f t="shared" si="7"/>
        <v>1.037774</v>
      </c>
      <c r="H137" s="4">
        <f t="shared" si="7"/>
        <v>1.317592</v>
      </c>
      <c r="I137" s="4">
        <f t="shared" si="7"/>
        <v>2.52828</v>
      </c>
      <c r="J137" s="4">
        <f t="shared" si="7"/>
        <v>1.0191379999999999</v>
      </c>
      <c r="K137" s="4">
        <f t="shared" si="7"/>
        <v>1.17357</v>
      </c>
      <c r="L137" s="4">
        <f t="shared" si="7"/>
        <v>1.84269</v>
      </c>
      <c r="M137" s="4">
        <f t="shared" si="7"/>
        <v>4.233234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>
        <v>50</v>
      </c>
      <c r="B138" s="4">
        <v>1.15084</v>
      </c>
      <c r="C138" s="4">
        <v>2.16856</v>
      </c>
      <c r="D138" s="4">
        <v>1.07538</v>
      </c>
      <c r="E138" s="5">
        <v>1.59807</v>
      </c>
      <c r="F138" s="5">
        <v>3.95162</v>
      </c>
      <c r="G138" s="4">
        <v>1.03805</v>
      </c>
      <c r="H138" s="4">
        <v>1.31996</v>
      </c>
      <c r="I138" s="4">
        <v>2.54192</v>
      </c>
      <c r="J138" s="4">
        <v>1.01928</v>
      </c>
      <c r="K138" s="4">
        <v>1.17485</v>
      </c>
      <c r="L138" s="4">
        <v>1.84958</v>
      </c>
      <c r="M138" s="4">
        <v>4.26701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>
        <v>51</v>
      </c>
      <c r="B139" s="4">
        <f aca="true" t="shared" si="8" ref="B139:M147">B$138+($A139-$A$138)*(B$148-B$138)/($A$148-$A$138)</f>
        <v>1.151783</v>
      </c>
      <c r="C139" s="4">
        <f t="shared" si="8"/>
        <v>2.177292</v>
      </c>
      <c r="D139" s="4">
        <f t="shared" si="8"/>
        <v>1.075859</v>
      </c>
      <c r="E139" s="4">
        <f t="shared" si="8"/>
        <v>1.6021740000000002</v>
      </c>
      <c r="F139" s="4">
        <f t="shared" si="8"/>
        <v>3.978789</v>
      </c>
      <c r="G139" s="4">
        <f t="shared" si="8"/>
        <v>1.038297</v>
      </c>
      <c r="H139" s="4">
        <f t="shared" si="8"/>
        <v>1.32207</v>
      </c>
      <c r="I139" s="4">
        <f t="shared" si="8"/>
        <v>2.554258</v>
      </c>
      <c r="J139" s="4">
        <f t="shared" si="8"/>
        <v>1.0194079999999999</v>
      </c>
      <c r="K139" s="4">
        <f t="shared" si="8"/>
        <v>1.175989</v>
      </c>
      <c r="L139" s="4">
        <f t="shared" si="8"/>
        <v>1.855767</v>
      </c>
      <c r="M139" s="4">
        <f t="shared" si="8"/>
        <v>4.297993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>
        <v>52</v>
      </c>
      <c r="B140" s="4">
        <f t="shared" si="8"/>
        <v>1.1527260000000001</v>
      </c>
      <c r="C140" s="4">
        <f t="shared" si="8"/>
        <v>2.1860239999999997</v>
      </c>
      <c r="D140" s="4">
        <f t="shared" si="8"/>
        <v>1.076338</v>
      </c>
      <c r="E140" s="4">
        <f t="shared" si="8"/>
        <v>1.606278</v>
      </c>
      <c r="F140" s="4">
        <f t="shared" si="8"/>
        <v>4.005958</v>
      </c>
      <c r="G140" s="4">
        <f t="shared" si="8"/>
        <v>1.038544</v>
      </c>
      <c r="H140" s="4">
        <f t="shared" si="8"/>
        <v>1.32418</v>
      </c>
      <c r="I140" s="4">
        <f t="shared" si="8"/>
        <v>2.566596</v>
      </c>
      <c r="J140" s="4">
        <f t="shared" si="8"/>
        <v>1.019536</v>
      </c>
      <c r="K140" s="4">
        <f t="shared" si="8"/>
        <v>1.177128</v>
      </c>
      <c r="L140" s="4">
        <f t="shared" si="8"/>
        <v>1.861954</v>
      </c>
      <c r="M140" s="4">
        <f t="shared" si="8"/>
        <v>4.328976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>
        <v>53</v>
      </c>
      <c r="B141" s="4">
        <f t="shared" si="8"/>
        <v>1.153669</v>
      </c>
      <c r="C141" s="4">
        <f t="shared" si="8"/>
        <v>2.194756</v>
      </c>
      <c r="D141" s="4">
        <f t="shared" si="8"/>
        <v>1.0768170000000001</v>
      </c>
      <c r="E141" s="4">
        <f t="shared" si="8"/>
        <v>1.610382</v>
      </c>
      <c r="F141" s="4">
        <f t="shared" si="8"/>
        <v>4.033127</v>
      </c>
      <c r="G141" s="4">
        <f t="shared" si="8"/>
        <v>1.0387909999999998</v>
      </c>
      <c r="H141" s="4">
        <f t="shared" si="8"/>
        <v>1.32629</v>
      </c>
      <c r="I141" s="4">
        <f t="shared" si="8"/>
        <v>2.5789340000000003</v>
      </c>
      <c r="J141" s="4">
        <f t="shared" si="8"/>
        <v>1.019664</v>
      </c>
      <c r="K141" s="4">
        <f t="shared" si="8"/>
        <v>1.178267</v>
      </c>
      <c r="L141" s="4">
        <f t="shared" si="8"/>
        <v>1.868141</v>
      </c>
      <c r="M141" s="4">
        <f t="shared" si="8"/>
        <v>4.359959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>
        <v>54</v>
      </c>
      <c r="B142" s="4">
        <f t="shared" si="8"/>
        <v>1.154612</v>
      </c>
      <c r="C142" s="4">
        <f t="shared" si="8"/>
        <v>2.2034879999999997</v>
      </c>
      <c r="D142" s="4">
        <f t="shared" si="8"/>
        <v>1.077296</v>
      </c>
      <c r="E142" s="4">
        <f t="shared" si="8"/>
        <v>1.614486</v>
      </c>
      <c r="F142" s="4">
        <f t="shared" si="8"/>
        <v>4.060296</v>
      </c>
      <c r="G142" s="4">
        <f t="shared" si="8"/>
        <v>1.039038</v>
      </c>
      <c r="H142" s="4">
        <f t="shared" si="8"/>
        <v>1.3284</v>
      </c>
      <c r="I142" s="4">
        <f t="shared" si="8"/>
        <v>2.591272</v>
      </c>
      <c r="J142" s="4">
        <f t="shared" si="8"/>
        <v>1.019792</v>
      </c>
      <c r="K142" s="4">
        <f t="shared" si="8"/>
        <v>1.179406</v>
      </c>
      <c r="L142" s="4">
        <f t="shared" si="8"/>
        <v>1.874328</v>
      </c>
      <c r="M142" s="4">
        <f t="shared" si="8"/>
        <v>4.390942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>
        <v>55</v>
      </c>
      <c r="B143" s="4">
        <f t="shared" si="8"/>
        <v>1.155555</v>
      </c>
      <c r="C143" s="4">
        <f t="shared" si="8"/>
        <v>2.21222</v>
      </c>
      <c r="D143" s="4">
        <f t="shared" si="8"/>
        <v>1.077775</v>
      </c>
      <c r="E143" s="4">
        <f t="shared" si="8"/>
        <v>1.6185900000000002</v>
      </c>
      <c r="F143" s="4">
        <f t="shared" si="8"/>
        <v>4.087465</v>
      </c>
      <c r="G143" s="4">
        <f t="shared" si="8"/>
        <v>1.039285</v>
      </c>
      <c r="H143" s="4">
        <f t="shared" si="8"/>
        <v>1.3305099999999999</v>
      </c>
      <c r="I143" s="4">
        <f t="shared" si="8"/>
        <v>2.6036099999999998</v>
      </c>
      <c r="J143" s="4">
        <f t="shared" si="8"/>
        <v>1.01992</v>
      </c>
      <c r="K143" s="4">
        <f t="shared" si="8"/>
        <v>1.180545</v>
      </c>
      <c r="L143" s="4">
        <f t="shared" si="8"/>
        <v>1.880515</v>
      </c>
      <c r="M143" s="4">
        <f t="shared" si="8"/>
        <v>4.421925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>
        <v>56</v>
      </c>
      <c r="B144" s="4">
        <f t="shared" si="8"/>
        <v>1.156498</v>
      </c>
      <c r="C144" s="4">
        <f t="shared" si="8"/>
        <v>2.220952</v>
      </c>
      <c r="D144" s="4">
        <f t="shared" si="8"/>
        <v>1.078254</v>
      </c>
      <c r="E144" s="4">
        <f t="shared" si="8"/>
        <v>1.622694</v>
      </c>
      <c r="F144" s="4">
        <f t="shared" si="8"/>
        <v>4.114634</v>
      </c>
      <c r="G144" s="4">
        <f t="shared" si="8"/>
        <v>1.039532</v>
      </c>
      <c r="H144" s="4">
        <f t="shared" si="8"/>
        <v>1.33262</v>
      </c>
      <c r="I144" s="4">
        <f t="shared" si="8"/>
        <v>2.615948</v>
      </c>
      <c r="J144" s="4">
        <f t="shared" si="8"/>
        <v>1.0200479999999998</v>
      </c>
      <c r="K144" s="4">
        <f t="shared" si="8"/>
        <v>1.181684</v>
      </c>
      <c r="L144" s="4">
        <f t="shared" si="8"/>
        <v>1.886702</v>
      </c>
      <c r="M144" s="4">
        <f t="shared" si="8"/>
        <v>4.452908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>
        <v>57</v>
      </c>
      <c r="B145" s="4">
        <f t="shared" si="8"/>
        <v>1.157441</v>
      </c>
      <c r="C145" s="4">
        <f t="shared" si="8"/>
        <v>2.2296839999999998</v>
      </c>
      <c r="D145" s="4">
        <f t="shared" si="8"/>
        <v>1.0787330000000002</v>
      </c>
      <c r="E145" s="4">
        <f t="shared" si="8"/>
        <v>1.626798</v>
      </c>
      <c r="F145" s="4">
        <f t="shared" si="8"/>
        <v>4.1418029999999995</v>
      </c>
      <c r="G145" s="4">
        <f t="shared" si="8"/>
        <v>1.0397789999999998</v>
      </c>
      <c r="H145" s="4">
        <f t="shared" si="8"/>
        <v>1.33473</v>
      </c>
      <c r="I145" s="4">
        <f t="shared" si="8"/>
        <v>2.628286</v>
      </c>
      <c r="J145" s="4">
        <f t="shared" si="8"/>
        <v>1.020176</v>
      </c>
      <c r="K145" s="4">
        <f t="shared" si="8"/>
        <v>1.182823</v>
      </c>
      <c r="L145" s="4">
        <f t="shared" si="8"/>
        <v>1.892889</v>
      </c>
      <c r="M145" s="4">
        <f t="shared" si="8"/>
        <v>4.483891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>
        <v>58</v>
      </c>
      <c r="B146" s="4">
        <f t="shared" si="8"/>
        <v>1.1583839999999999</v>
      </c>
      <c r="C146" s="4">
        <f t="shared" si="8"/>
        <v>2.238416</v>
      </c>
      <c r="D146" s="4">
        <f t="shared" si="8"/>
        <v>1.079212</v>
      </c>
      <c r="E146" s="4">
        <f t="shared" si="8"/>
        <v>1.630902</v>
      </c>
      <c r="F146" s="4">
        <f t="shared" si="8"/>
        <v>4.168972</v>
      </c>
      <c r="G146" s="4">
        <f t="shared" si="8"/>
        <v>1.040026</v>
      </c>
      <c r="H146" s="4">
        <f t="shared" si="8"/>
        <v>1.33684</v>
      </c>
      <c r="I146" s="4">
        <f t="shared" si="8"/>
        <v>2.640624</v>
      </c>
      <c r="J146" s="4">
        <f t="shared" si="8"/>
        <v>1.0203039999999999</v>
      </c>
      <c r="K146" s="4">
        <f t="shared" si="8"/>
        <v>1.183962</v>
      </c>
      <c r="L146" s="4">
        <f t="shared" si="8"/>
        <v>1.899076</v>
      </c>
      <c r="M146" s="4">
        <f t="shared" si="8"/>
        <v>4.514874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>
        <v>59</v>
      </c>
      <c r="B147" s="4">
        <f t="shared" si="8"/>
        <v>1.159327</v>
      </c>
      <c r="C147" s="4">
        <f t="shared" si="8"/>
        <v>2.2471479999999997</v>
      </c>
      <c r="D147" s="4">
        <f t="shared" si="8"/>
        <v>1.079691</v>
      </c>
      <c r="E147" s="4">
        <f t="shared" si="8"/>
        <v>1.6350060000000002</v>
      </c>
      <c r="F147" s="4">
        <f t="shared" si="8"/>
        <v>4.196141</v>
      </c>
      <c r="G147" s="4">
        <f t="shared" si="8"/>
        <v>1.040273</v>
      </c>
      <c r="H147" s="4">
        <f t="shared" si="8"/>
        <v>1.3389499999999999</v>
      </c>
      <c r="I147" s="4">
        <f t="shared" si="8"/>
        <v>2.6529619999999996</v>
      </c>
      <c r="J147" s="4">
        <f t="shared" si="8"/>
        <v>1.020432</v>
      </c>
      <c r="K147" s="4">
        <f t="shared" si="8"/>
        <v>1.185101</v>
      </c>
      <c r="L147" s="4">
        <f t="shared" si="8"/>
        <v>1.9052630000000002</v>
      </c>
      <c r="M147" s="4">
        <f t="shared" si="8"/>
        <v>4.545857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>
        <v>60</v>
      </c>
      <c r="B148" s="4">
        <v>1.16027</v>
      </c>
      <c r="C148" s="4">
        <v>2.25588</v>
      </c>
      <c r="D148" s="4">
        <v>1.08017</v>
      </c>
      <c r="E148" s="5">
        <v>1.63911</v>
      </c>
      <c r="F148" s="5">
        <v>4.22331</v>
      </c>
      <c r="G148" s="4">
        <v>1.04052</v>
      </c>
      <c r="H148" s="4">
        <v>1.34106</v>
      </c>
      <c r="I148" s="4">
        <v>2.6653</v>
      </c>
      <c r="J148" s="4">
        <v>1.02056</v>
      </c>
      <c r="K148" s="4">
        <v>1.18624</v>
      </c>
      <c r="L148" s="4">
        <v>1.91145</v>
      </c>
      <c r="M148" s="4">
        <v>4.57684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>
        <v>61</v>
      </c>
      <c r="B149" s="4">
        <f aca="true" t="shared" si="9" ref="B149:M157">B$148+($A149-$A$148)*(B$158-B$148)/($A$158-$A$148)</f>
        <v>1.16109</v>
      </c>
      <c r="C149" s="4">
        <f t="shared" si="9"/>
        <v>2.263604</v>
      </c>
      <c r="D149" s="4">
        <f t="shared" si="9"/>
        <v>1.080587</v>
      </c>
      <c r="E149" s="4">
        <f t="shared" si="9"/>
        <v>1.642712</v>
      </c>
      <c r="F149" s="4">
        <f t="shared" si="9"/>
        <v>4.247824</v>
      </c>
      <c r="G149" s="4">
        <f t="shared" si="9"/>
        <v>1.0407359999999999</v>
      </c>
      <c r="H149" s="4">
        <f t="shared" si="9"/>
        <v>1.342905</v>
      </c>
      <c r="I149" s="4">
        <f t="shared" si="9"/>
        <v>2.6762889999999997</v>
      </c>
      <c r="J149" s="4">
        <f t="shared" si="9"/>
        <v>1.0206719999999998</v>
      </c>
      <c r="K149" s="4">
        <f t="shared" si="9"/>
        <v>1.187236</v>
      </c>
      <c r="L149" s="4">
        <f t="shared" si="9"/>
        <v>1.916914</v>
      </c>
      <c r="M149" s="4">
        <f t="shared" si="9"/>
        <v>4.60488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>
        <v>62</v>
      </c>
      <c r="B150" s="4">
        <f t="shared" si="9"/>
        <v>1.16191</v>
      </c>
      <c r="C150" s="4">
        <f t="shared" si="9"/>
        <v>2.271328</v>
      </c>
      <c r="D150" s="4">
        <f t="shared" si="9"/>
        <v>1.081004</v>
      </c>
      <c r="E150" s="4">
        <f t="shared" si="9"/>
        <v>1.646314</v>
      </c>
      <c r="F150" s="4">
        <f t="shared" si="9"/>
        <v>4.2723379999999995</v>
      </c>
      <c r="G150" s="4">
        <f t="shared" si="9"/>
        <v>1.0409519999999999</v>
      </c>
      <c r="H150" s="4">
        <f t="shared" si="9"/>
        <v>1.34475</v>
      </c>
      <c r="I150" s="4">
        <f t="shared" si="9"/>
        <v>2.6872779999999996</v>
      </c>
      <c r="J150" s="4">
        <f t="shared" si="9"/>
        <v>1.020784</v>
      </c>
      <c r="K150" s="4">
        <f t="shared" si="9"/>
        <v>1.188232</v>
      </c>
      <c r="L150" s="4">
        <f t="shared" si="9"/>
        <v>1.9223780000000001</v>
      </c>
      <c r="M150" s="4">
        <f t="shared" si="9"/>
        <v>4.6329199999999995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>
        <v>63</v>
      </c>
      <c r="B151" s="4">
        <f t="shared" si="9"/>
        <v>1.1627299999999998</v>
      </c>
      <c r="C151" s="4">
        <f t="shared" si="9"/>
        <v>2.279052</v>
      </c>
      <c r="D151" s="4">
        <f t="shared" si="9"/>
        <v>1.0814210000000002</v>
      </c>
      <c r="E151" s="4">
        <f t="shared" si="9"/>
        <v>1.6499160000000002</v>
      </c>
      <c r="F151" s="4">
        <f t="shared" si="9"/>
        <v>4.2968519999999994</v>
      </c>
      <c r="G151" s="4">
        <f t="shared" si="9"/>
        <v>1.0411679999999999</v>
      </c>
      <c r="H151" s="4">
        <f t="shared" si="9"/>
        <v>1.346595</v>
      </c>
      <c r="I151" s="4">
        <f t="shared" si="9"/>
        <v>2.698267</v>
      </c>
      <c r="J151" s="4">
        <f t="shared" si="9"/>
        <v>1.020896</v>
      </c>
      <c r="K151" s="4">
        <f t="shared" si="9"/>
        <v>1.189228</v>
      </c>
      <c r="L151" s="4">
        <f t="shared" si="9"/>
        <v>1.927842</v>
      </c>
      <c r="M151" s="4">
        <f t="shared" si="9"/>
        <v>4.66096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>
        <v>64</v>
      </c>
      <c r="B152" s="4">
        <f t="shared" si="9"/>
        <v>1.1635499999999999</v>
      </c>
      <c r="C152" s="4">
        <f t="shared" si="9"/>
        <v>2.286776</v>
      </c>
      <c r="D152" s="4">
        <f t="shared" si="9"/>
        <v>1.081838</v>
      </c>
      <c r="E152" s="4">
        <f t="shared" si="9"/>
        <v>1.653518</v>
      </c>
      <c r="F152" s="4">
        <f t="shared" si="9"/>
        <v>4.321365999999999</v>
      </c>
      <c r="G152" s="4">
        <f t="shared" si="9"/>
        <v>1.0413839999999999</v>
      </c>
      <c r="H152" s="4">
        <f t="shared" si="9"/>
        <v>1.3484399999999999</v>
      </c>
      <c r="I152" s="4">
        <f t="shared" si="9"/>
        <v>2.709256</v>
      </c>
      <c r="J152" s="4">
        <f t="shared" si="9"/>
        <v>1.021008</v>
      </c>
      <c r="K152" s="4">
        <f t="shared" si="9"/>
        <v>1.190224</v>
      </c>
      <c r="L152" s="4">
        <f t="shared" si="9"/>
        <v>1.933306</v>
      </c>
      <c r="M152" s="4">
        <f t="shared" si="9"/>
        <v>4.689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>
        <v>65</v>
      </c>
      <c r="B153" s="4">
        <f t="shared" si="9"/>
        <v>1.16437</v>
      </c>
      <c r="C153" s="4">
        <f t="shared" si="9"/>
        <v>2.2945</v>
      </c>
      <c r="D153" s="4">
        <f t="shared" si="9"/>
        <v>1.082255</v>
      </c>
      <c r="E153" s="4">
        <f t="shared" si="9"/>
        <v>1.65712</v>
      </c>
      <c r="F153" s="4">
        <f t="shared" si="9"/>
        <v>4.345879999999999</v>
      </c>
      <c r="G153" s="4">
        <f t="shared" si="9"/>
        <v>1.0415999999999999</v>
      </c>
      <c r="H153" s="4">
        <f t="shared" si="9"/>
        <v>1.350285</v>
      </c>
      <c r="I153" s="4">
        <f t="shared" si="9"/>
        <v>2.720245</v>
      </c>
      <c r="J153" s="4">
        <f t="shared" si="9"/>
        <v>1.0211199999999998</v>
      </c>
      <c r="K153" s="4">
        <f t="shared" si="9"/>
        <v>1.19122</v>
      </c>
      <c r="L153" s="4">
        <f t="shared" si="9"/>
        <v>1.9387699999999999</v>
      </c>
      <c r="M153" s="4">
        <f t="shared" si="9"/>
        <v>4.71704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>
        <v>66</v>
      </c>
      <c r="B154" s="4">
        <f t="shared" si="9"/>
        <v>1.16519</v>
      </c>
      <c r="C154" s="4">
        <f t="shared" si="9"/>
        <v>2.302224</v>
      </c>
      <c r="D154" s="4">
        <f t="shared" si="9"/>
        <v>1.082672</v>
      </c>
      <c r="E154" s="4">
        <f t="shared" si="9"/>
        <v>1.660722</v>
      </c>
      <c r="F154" s="4">
        <f t="shared" si="9"/>
        <v>4.370394</v>
      </c>
      <c r="G154" s="4">
        <f t="shared" si="9"/>
        <v>1.041816</v>
      </c>
      <c r="H154" s="4">
        <f t="shared" si="9"/>
        <v>1.35213</v>
      </c>
      <c r="I154" s="4">
        <f t="shared" si="9"/>
        <v>2.7312339999999997</v>
      </c>
      <c r="J154" s="4">
        <f t="shared" si="9"/>
        <v>1.021232</v>
      </c>
      <c r="K154" s="4">
        <f t="shared" si="9"/>
        <v>1.192216</v>
      </c>
      <c r="L154" s="4">
        <f t="shared" si="9"/>
        <v>1.944234</v>
      </c>
      <c r="M154" s="4">
        <f t="shared" si="9"/>
        <v>4.74508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>
        <v>67</v>
      </c>
      <c r="B155" s="4">
        <f t="shared" si="9"/>
        <v>1.16601</v>
      </c>
      <c r="C155" s="4">
        <f t="shared" si="9"/>
        <v>2.309948</v>
      </c>
      <c r="D155" s="4">
        <f t="shared" si="9"/>
        <v>1.0830890000000002</v>
      </c>
      <c r="E155" s="4">
        <f t="shared" si="9"/>
        <v>1.6643240000000001</v>
      </c>
      <c r="F155" s="4">
        <f t="shared" si="9"/>
        <v>4.394908</v>
      </c>
      <c r="G155" s="4">
        <f t="shared" si="9"/>
        <v>1.042032</v>
      </c>
      <c r="H155" s="4">
        <f t="shared" si="9"/>
        <v>1.353975</v>
      </c>
      <c r="I155" s="4">
        <f t="shared" si="9"/>
        <v>2.7422229999999996</v>
      </c>
      <c r="J155" s="4">
        <f t="shared" si="9"/>
        <v>1.021344</v>
      </c>
      <c r="K155" s="4">
        <f t="shared" si="9"/>
        <v>1.193212</v>
      </c>
      <c r="L155" s="4">
        <f t="shared" si="9"/>
        <v>1.949698</v>
      </c>
      <c r="M155" s="4">
        <f t="shared" si="9"/>
        <v>4.77312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>
        <v>68</v>
      </c>
      <c r="B156" s="4">
        <f t="shared" si="9"/>
        <v>1.1668299999999998</v>
      </c>
      <c r="C156" s="4">
        <f t="shared" si="9"/>
        <v>2.317672</v>
      </c>
      <c r="D156" s="4">
        <f t="shared" si="9"/>
        <v>1.083506</v>
      </c>
      <c r="E156" s="4">
        <f t="shared" si="9"/>
        <v>1.667926</v>
      </c>
      <c r="F156" s="4">
        <f t="shared" si="9"/>
        <v>4.419422</v>
      </c>
      <c r="G156" s="4">
        <f t="shared" si="9"/>
        <v>1.042248</v>
      </c>
      <c r="H156" s="4">
        <f t="shared" si="9"/>
        <v>1.35582</v>
      </c>
      <c r="I156" s="4">
        <f t="shared" si="9"/>
        <v>2.753212</v>
      </c>
      <c r="J156" s="4">
        <f t="shared" si="9"/>
        <v>1.021456</v>
      </c>
      <c r="K156" s="4">
        <f t="shared" si="9"/>
        <v>1.194208</v>
      </c>
      <c r="L156" s="4">
        <f t="shared" si="9"/>
        <v>1.9551619999999998</v>
      </c>
      <c r="M156" s="4">
        <f t="shared" si="9"/>
        <v>4.80116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>
        <v>69</v>
      </c>
      <c r="B157" s="4">
        <f t="shared" si="9"/>
        <v>1.1676499999999999</v>
      </c>
      <c r="C157" s="4">
        <f t="shared" si="9"/>
        <v>2.325396</v>
      </c>
      <c r="D157" s="4">
        <f t="shared" si="9"/>
        <v>1.083923</v>
      </c>
      <c r="E157" s="4">
        <f t="shared" si="9"/>
        <v>1.671528</v>
      </c>
      <c r="F157" s="4">
        <f t="shared" si="9"/>
        <v>4.443936</v>
      </c>
      <c r="G157" s="4">
        <f t="shared" si="9"/>
        <v>1.042464</v>
      </c>
      <c r="H157" s="4">
        <f t="shared" si="9"/>
        <v>1.357665</v>
      </c>
      <c r="I157" s="4">
        <f t="shared" si="9"/>
        <v>2.764201</v>
      </c>
      <c r="J157" s="4">
        <f t="shared" si="9"/>
        <v>1.0215679999999998</v>
      </c>
      <c r="K157" s="4">
        <f t="shared" si="9"/>
        <v>1.195204</v>
      </c>
      <c r="L157" s="4">
        <f t="shared" si="9"/>
        <v>1.960626</v>
      </c>
      <c r="M157" s="4">
        <f t="shared" si="9"/>
        <v>4.8292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>
        <v>70</v>
      </c>
      <c r="B158" s="4">
        <v>1.16847</v>
      </c>
      <c r="C158" s="4">
        <v>2.33312</v>
      </c>
      <c r="D158" s="4">
        <v>1.08434</v>
      </c>
      <c r="E158" s="5">
        <v>1.67513</v>
      </c>
      <c r="F158" s="5">
        <v>4.46845</v>
      </c>
      <c r="G158" s="4">
        <v>1.04268</v>
      </c>
      <c r="H158" s="4">
        <v>1.35951</v>
      </c>
      <c r="I158" s="4">
        <v>2.77519</v>
      </c>
      <c r="J158" s="4">
        <v>1.02168</v>
      </c>
      <c r="K158" s="4">
        <v>1.1962</v>
      </c>
      <c r="L158" s="4">
        <v>1.96609</v>
      </c>
      <c r="M158" s="4">
        <v>4.85724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>
        <v>71</v>
      </c>
      <c r="B159" s="4">
        <f aca="true" t="shared" si="10" ref="B159:M167">B$158+($A159-$A$158)*(B$168-B$158)/($A$168-$A$158)</f>
        <v>1.169198</v>
      </c>
      <c r="C159" s="4">
        <f t="shared" si="10"/>
        <v>2.340075</v>
      </c>
      <c r="D159" s="4">
        <f t="shared" si="10"/>
        <v>1.084711</v>
      </c>
      <c r="E159" s="4">
        <f t="shared" si="10"/>
        <v>1.6776906</v>
      </c>
      <c r="F159" s="4">
        <f t="shared" si="10"/>
        <v>4.490902</v>
      </c>
      <c r="G159" s="4">
        <f t="shared" si="10"/>
        <v>1.038872</v>
      </c>
      <c r="H159" s="4">
        <f t="shared" si="10"/>
        <v>1.361156</v>
      </c>
      <c r="I159" s="4">
        <f t="shared" si="10"/>
        <v>2.785144</v>
      </c>
      <c r="J159" s="4">
        <f t="shared" si="10"/>
        <v>1.0217809999999998</v>
      </c>
      <c r="K159" s="4">
        <f t="shared" si="10"/>
        <v>1.197087</v>
      </c>
      <c r="L159" s="4">
        <f t="shared" si="10"/>
        <v>1.971004</v>
      </c>
      <c r="M159" s="4">
        <f t="shared" si="10"/>
        <v>4.88299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>
        <v>72</v>
      </c>
      <c r="B160" s="4">
        <f t="shared" si="10"/>
        <v>1.169926</v>
      </c>
      <c r="C160" s="4">
        <f t="shared" si="10"/>
        <v>2.34703</v>
      </c>
      <c r="D160" s="4">
        <f t="shared" si="10"/>
        <v>1.085082</v>
      </c>
      <c r="E160" s="4">
        <f t="shared" si="10"/>
        <v>1.6802512</v>
      </c>
      <c r="F160" s="4">
        <f t="shared" si="10"/>
        <v>4.513354</v>
      </c>
      <c r="G160" s="4">
        <f t="shared" si="10"/>
        <v>1.035064</v>
      </c>
      <c r="H160" s="4">
        <f t="shared" si="10"/>
        <v>1.362802</v>
      </c>
      <c r="I160" s="4">
        <f t="shared" si="10"/>
        <v>2.795098</v>
      </c>
      <c r="J160" s="4">
        <f t="shared" si="10"/>
        <v>1.021882</v>
      </c>
      <c r="K160" s="4">
        <f t="shared" si="10"/>
        <v>1.1979739999999999</v>
      </c>
      <c r="L160" s="4">
        <f t="shared" si="10"/>
        <v>1.9759179999999998</v>
      </c>
      <c r="M160" s="4">
        <f t="shared" si="10"/>
        <v>4.90874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>
        <v>73</v>
      </c>
      <c r="B161" s="4">
        <f t="shared" si="10"/>
        <v>1.1706539999999999</v>
      </c>
      <c r="C161" s="4">
        <f t="shared" si="10"/>
        <v>2.353985</v>
      </c>
      <c r="D161" s="4">
        <f t="shared" si="10"/>
        <v>1.085453</v>
      </c>
      <c r="E161" s="4">
        <f t="shared" si="10"/>
        <v>1.6828118</v>
      </c>
      <c r="F161" s="4">
        <f t="shared" si="10"/>
        <v>4.535806</v>
      </c>
      <c r="G161" s="4">
        <f t="shared" si="10"/>
        <v>1.031256</v>
      </c>
      <c r="H161" s="4">
        <f t="shared" si="10"/>
        <v>1.3644479999999999</v>
      </c>
      <c r="I161" s="4">
        <f t="shared" si="10"/>
        <v>2.805052</v>
      </c>
      <c r="J161" s="4">
        <f t="shared" si="10"/>
        <v>1.021983</v>
      </c>
      <c r="K161" s="4">
        <f t="shared" si="10"/>
        <v>1.198861</v>
      </c>
      <c r="L161" s="4">
        <f t="shared" si="10"/>
        <v>1.980832</v>
      </c>
      <c r="M161" s="4">
        <f t="shared" si="10"/>
        <v>4.93449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>
        <v>74</v>
      </c>
      <c r="B162" s="4">
        <f t="shared" si="10"/>
        <v>1.171382</v>
      </c>
      <c r="C162" s="4">
        <f t="shared" si="10"/>
        <v>2.3609400000000003</v>
      </c>
      <c r="D162" s="4">
        <f t="shared" si="10"/>
        <v>1.0858240000000001</v>
      </c>
      <c r="E162" s="4">
        <f t="shared" si="10"/>
        <v>1.6853724</v>
      </c>
      <c r="F162" s="4">
        <f t="shared" si="10"/>
        <v>4.5582579999999995</v>
      </c>
      <c r="G162" s="4">
        <f t="shared" si="10"/>
        <v>1.027448</v>
      </c>
      <c r="H162" s="4">
        <f t="shared" si="10"/>
        <v>1.366094</v>
      </c>
      <c r="I162" s="4">
        <f t="shared" si="10"/>
        <v>2.815006</v>
      </c>
      <c r="J162" s="4">
        <f t="shared" si="10"/>
        <v>1.022084</v>
      </c>
      <c r="K162" s="4">
        <f t="shared" si="10"/>
        <v>1.199748</v>
      </c>
      <c r="L162" s="4">
        <f t="shared" si="10"/>
        <v>1.9857459999999998</v>
      </c>
      <c r="M162" s="4">
        <f t="shared" si="10"/>
        <v>4.96024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>
        <v>75</v>
      </c>
      <c r="B163" s="4">
        <f t="shared" si="10"/>
        <v>1.17211</v>
      </c>
      <c r="C163" s="4">
        <f t="shared" si="10"/>
        <v>2.367895</v>
      </c>
      <c r="D163" s="4">
        <f t="shared" si="10"/>
        <v>1.086195</v>
      </c>
      <c r="E163" s="4">
        <f t="shared" si="10"/>
        <v>1.6879330000000001</v>
      </c>
      <c r="F163" s="4">
        <f t="shared" si="10"/>
        <v>4.58071</v>
      </c>
      <c r="G163" s="4">
        <f t="shared" si="10"/>
        <v>1.0236399999999999</v>
      </c>
      <c r="H163" s="4">
        <f t="shared" si="10"/>
        <v>1.36774</v>
      </c>
      <c r="I163" s="4">
        <f t="shared" si="10"/>
        <v>2.82496</v>
      </c>
      <c r="J163" s="4">
        <f t="shared" si="10"/>
        <v>1.022185</v>
      </c>
      <c r="K163" s="4">
        <f t="shared" si="10"/>
        <v>1.2006350000000001</v>
      </c>
      <c r="L163" s="4">
        <f t="shared" si="10"/>
        <v>1.9906599999999999</v>
      </c>
      <c r="M163" s="4">
        <f t="shared" si="10"/>
        <v>4.98599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>
        <v>76</v>
      </c>
      <c r="B164" s="4">
        <f t="shared" si="10"/>
        <v>1.172838</v>
      </c>
      <c r="C164" s="4">
        <f t="shared" si="10"/>
        <v>2.37485</v>
      </c>
      <c r="D164" s="4">
        <f t="shared" si="10"/>
        <v>1.086566</v>
      </c>
      <c r="E164" s="4">
        <f t="shared" si="10"/>
        <v>1.6904936</v>
      </c>
      <c r="F164" s="4">
        <f t="shared" si="10"/>
        <v>4.603162</v>
      </c>
      <c r="G164" s="4">
        <f t="shared" si="10"/>
        <v>1.019832</v>
      </c>
      <c r="H164" s="4">
        <f t="shared" si="10"/>
        <v>1.369386</v>
      </c>
      <c r="I164" s="4">
        <f t="shared" si="10"/>
        <v>2.834914</v>
      </c>
      <c r="J164" s="4">
        <f t="shared" si="10"/>
        <v>1.022286</v>
      </c>
      <c r="K164" s="4">
        <f t="shared" si="10"/>
        <v>1.201522</v>
      </c>
      <c r="L164" s="4">
        <f t="shared" si="10"/>
        <v>1.995574</v>
      </c>
      <c r="M164" s="4">
        <f t="shared" si="10"/>
        <v>5.0117400000000005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>
        <v>77</v>
      </c>
      <c r="B165" s="4">
        <f t="shared" si="10"/>
        <v>1.173566</v>
      </c>
      <c r="C165" s="4">
        <f t="shared" si="10"/>
        <v>2.381805</v>
      </c>
      <c r="D165" s="4">
        <f t="shared" si="10"/>
        <v>1.086937</v>
      </c>
      <c r="E165" s="4">
        <f t="shared" si="10"/>
        <v>1.6930542</v>
      </c>
      <c r="F165" s="4">
        <f t="shared" si="10"/>
        <v>4.625614</v>
      </c>
      <c r="G165" s="4">
        <f t="shared" si="10"/>
        <v>1.016024</v>
      </c>
      <c r="H165" s="4">
        <f t="shared" si="10"/>
        <v>1.371032</v>
      </c>
      <c r="I165" s="4">
        <f t="shared" si="10"/>
        <v>2.844868</v>
      </c>
      <c r="J165" s="4">
        <f t="shared" si="10"/>
        <v>1.0223870000000002</v>
      </c>
      <c r="K165" s="4">
        <f t="shared" si="10"/>
        <v>1.202409</v>
      </c>
      <c r="L165" s="4">
        <f t="shared" si="10"/>
        <v>2.000488</v>
      </c>
      <c r="M165" s="4">
        <f t="shared" si="10"/>
        <v>5.03749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>
        <v>78</v>
      </c>
      <c r="B166" s="4">
        <f t="shared" si="10"/>
        <v>1.174294</v>
      </c>
      <c r="C166" s="4">
        <f t="shared" si="10"/>
        <v>2.38876</v>
      </c>
      <c r="D166" s="4">
        <f t="shared" si="10"/>
        <v>1.087308</v>
      </c>
      <c r="E166" s="4">
        <f t="shared" si="10"/>
        <v>1.6956148</v>
      </c>
      <c r="F166" s="4">
        <f t="shared" si="10"/>
        <v>4.648066</v>
      </c>
      <c r="G166" s="4">
        <f t="shared" si="10"/>
        <v>1.012216</v>
      </c>
      <c r="H166" s="4">
        <f t="shared" si="10"/>
        <v>1.3726779999999998</v>
      </c>
      <c r="I166" s="4">
        <f t="shared" si="10"/>
        <v>2.854822</v>
      </c>
      <c r="J166" s="4">
        <f t="shared" si="10"/>
        <v>1.022488</v>
      </c>
      <c r="K166" s="4">
        <f t="shared" si="10"/>
        <v>1.2032960000000001</v>
      </c>
      <c r="L166" s="4">
        <f t="shared" si="10"/>
        <v>2.0054019999999997</v>
      </c>
      <c r="M166" s="4">
        <f t="shared" si="10"/>
        <v>5.06324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>
        <v>79</v>
      </c>
      <c r="B167" s="4">
        <f t="shared" si="10"/>
        <v>1.175022</v>
      </c>
      <c r="C167" s="4">
        <f t="shared" si="10"/>
        <v>2.395715</v>
      </c>
      <c r="D167" s="4">
        <f t="shared" si="10"/>
        <v>1.087679</v>
      </c>
      <c r="E167" s="4">
        <f t="shared" si="10"/>
        <v>1.6981754</v>
      </c>
      <c r="F167" s="4">
        <f t="shared" si="10"/>
        <v>4.6705179999999995</v>
      </c>
      <c r="G167" s="4">
        <f t="shared" si="10"/>
        <v>1.008408</v>
      </c>
      <c r="H167" s="4">
        <f t="shared" si="10"/>
        <v>1.3743239999999999</v>
      </c>
      <c r="I167" s="4">
        <f t="shared" si="10"/>
        <v>2.864776</v>
      </c>
      <c r="J167" s="4">
        <f t="shared" si="10"/>
        <v>1.022589</v>
      </c>
      <c r="K167" s="4">
        <f t="shared" si="10"/>
        <v>1.204183</v>
      </c>
      <c r="L167" s="4">
        <f t="shared" si="10"/>
        <v>2.010316</v>
      </c>
      <c r="M167" s="4">
        <f t="shared" si="10"/>
        <v>5.08899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>
        <v>80</v>
      </c>
      <c r="B168" s="4">
        <v>1.17575</v>
      </c>
      <c r="C168" s="4">
        <v>2.40267</v>
      </c>
      <c r="D168" s="4">
        <v>1.08805</v>
      </c>
      <c r="E168" s="5">
        <v>1.700736</v>
      </c>
      <c r="F168" s="5">
        <v>4.69297</v>
      </c>
      <c r="G168" s="4">
        <v>1.0046</v>
      </c>
      <c r="H168" s="4">
        <v>1.37597</v>
      </c>
      <c r="I168" s="4">
        <v>2.87473</v>
      </c>
      <c r="J168" s="4">
        <v>1.02269</v>
      </c>
      <c r="K168" s="4">
        <v>1.20507</v>
      </c>
      <c r="L168" s="4">
        <v>2.01523</v>
      </c>
      <c r="M168" s="4">
        <v>5.11474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>
        <v>81</v>
      </c>
      <c r="B169" s="4">
        <f aca="true" t="shared" si="11" ref="B169:M177">B$168+($A169-$A$168)*(B$178-B$168)/($A$178-$A$168)</f>
        <v>1.1764050000000001</v>
      </c>
      <c r="C169" s="4">
        <f t="shared" si="11"/>
        <v>2.4090160000000003</v>
      </c>
      <c r="D169" s="4">
        <f t="shared" si="11"/>
        <v>1.088384</v>
      </c>
      <c r="E169" s="4">
        <f t="shared" si="11"/>
        <v>1.7043234</v>
      </c>
      <c r="F169" s="4">
        <f t="shared" si="11"/>
        <v>4.713768</v>
      </c>
      <c r="G169" s="4">
        <f t="shared" si="11"/>
        <v>1.0087739999999998</v>
      </c>
      <c r="H169" s="4">
        <f t="shared" si="11"/>
        <v>1.37746</v>
      </c>
      <c r="I169" s="4">
        <f t="shared" si="11"/>
        <v>2.883862</v>
      </c>
      <c r="J169" s="4">
        <f t="shared" si="11"/>
        <v>1.0227780000000002</v>
      </c>
      <c r="K169" s="4">
        <f t="shared" si="11"/>
        <v>1.205873</v>
      </c>
      <c r="L169" s="4">
        <f t="shared" si="11"/>
        <v>2.01971</v>
      </c>
      <c r="M169" s="4">
        <f t="shared" si="11"/>
        <v>5.138645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>
        <v>82</v>
      </c>
      <c r="B170" s="4">
        <f t="shared" si="11"/>
        <v>1.17706</v>
      </c>
      <c r="C170" s="4">
        <f t="shared" si="11"/>
        <v>2.415362</v>
      </c>
      <c r="D170" s="4">
        <f t="shared" si="11"/>
        <v>1.088718</v>
      </c>
      <c r="E170" s="4">
        <f t="shared" si="11"/>
        <v>1.7079108</v>
      </c>
      <c r="F170" s="4">
        <f t="shared" si="11"/>
        <v>4.734566</v>
      </c>
      <c r="G170" s="4">
        <f t="shared" si="11"/>
        <v>1.012948</v>
      </c>
      <c r="H170" s="4">
        <f t="shared" si="11"/>
        <v>1.37895</v>
      </c>
      <c r="I170" s="4">
        <f t="shared" si="11"/>
        <v>2.892994</v>
      </c>
      <c r="J170" s="4">
        <f t="shared" si="11"/>
        <v>1.022866</v>
      </c>
      <c r="K170" s="4">
        <f t="shared" si="11"/>
        <v>1.206676</v>
      </c>
      <c r="L170" s="4">
        <f t="shared" si="11"/>
        <v>2.02419</v>
      </c>
      <c r="M170" s="4">
        <f t="shared" si="11"/>
        <v>5.16255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>
        <v>83</v>
      </c>
      <c r="B171" s="4">
        <f t="shared" si="11"/>
        <v>1.177715</v>
      </c>
      <c r="C171" s="4">
        <f t="shared" si="11"/>
        <v>2.421708</v>
      </c>
      <c r="D171" s="4">
        <f t="shared" si="11"/>
        <v>1.089052</v>
      </c>
      <c r="E171" s="4">
        <f t="shared" si="11"/>
        <v>1.7114982</v>
      </c>
      <c r="F171" s="4">
        <f t="shared" si="11"/>
        <v>4.755364</v>
      </c>
      <c r="G171" s="4">
        <f t="shared" si="11"/>
        <v>1.017122</v>
      </c>
      <c r="H171" s="4">
        <f t="shared" si="11"/>
        <v>1.38044</v>
      </c>
      <c r="I171" s="4">
        <f t="shared" si="11"/>
        <v>2.902126</v>
      </c>
      <c r="J171" s="4">
        <f t="shared" si="11"/>
        <v>1.0229540000000001</v>
      </c>
      <c r="K171" s="4">
        <f t="shared" si="11"/>
        <v>1.2074790000000002</v>
      </c>
      <c r="L171" s="4">
        <f t="shared" si="11"/>
        <v>2.02867</v>
      </c>
      <c r="M171" s="4">
        <f t="shared" si="11"/>
        <v>5.1864550000000005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>
        <v>84</v>
      </c>
      <c r="B172" s="4">
        <f t="shared" si="11"/>
        <v>1.17837</v>
      </c>
      <c r="C172" s="4">
        <f t="shared" si="11"/>
        <v>2.428054</v>
      </c>
      <c r="D172" s="4">
        <f t="shared" si="11"/>
        <v>1.089386</v>
      </c>
      <c r="E172" s="4">
        <f t="shared" si="11"/>
        <v>1.7150856</v>
      </c>
      <c r="F172" s="4">
        <f t="shared" si="11"/>
        <v>4.776162</v>
      </c>
      <c r="G172" s="4">
        <f t="shared" si="11"/>
        <v>1.021296</v>
      </c>
      <c r="H172" s="4">
        <f t="shared" si="11"/>
        <v>1.3819299999999999</v>
      </c>
      <c r="I172" s="4">
        <f t="shared" si="11"/>
        <v>2.911258</v>
      </c>
      <c r="J172" s="4">
        <f t="shared" si="11"/>
        <v>1.023042</v>
      </c>
      <c r="K172" s="4">
        <f t="shared" si="11"/>
        <v>1.208282</v>
      </c>
      <c r="L172" s="4">
        <f t="shared" si="11"/>
        <v>2.03315</v>
      </c>
      <c r="M172" s="4">
        <f t="shared" si="11"/>
        <v>5.2103600000000005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>
        <v>85</v>
      </c>
      <c r="B173" s="4">
        <f t="shared" si="11"/>
        <v>1.179025</v>
      </c>
      <c r="C173" s="4">
        <f t="shared" si="11"/>
        <v>2.4344</v>
      </c>
      <c r="D173" s="4">
        <f t="shared" si="11"/>
        <v>1.08972</v>
      </c>
      <c r="E173" s="4">
        <f t="shared" si="11"/>
        <v>1.718673</v>
      </c>
      <c r="F173" s="4">
        <f t="shared" si="11"/>
        <v>4.79696</v>
      </c>
      <c r="G173" s="4">
        <f t="shared" si="11"/>
        <v>1.0254699999999999</v>
      </c>
      <c r="H173" s="4">
        <f t="shared" si="11"/>
        <v>1.38342</v>
      </c>
      <c r="I173" s="4">
        <f t="shared" si="11"/>
        <v>2.9203900000000003</v>
      </c>
      <c r="J173" s="4">
        <f t="shared" si="11"/>
        <v>1.02313</v>
      </c>
      <c r="K173" s="4">
        <f t="shared" si="11"/>
        <v>1.209085</v>
      </c>
      <c r="L173" s="4">
        <f t="shared" si="11"/>
        <v>2.03763</v>
      </c>
      <c r="M173" s="4">
        <f t="shared" si="11"/>
        <v>5.234265000000001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>
        <v>86</v>
      </c>
      <c r="B174" s="4">
        <f t="shared" si="11"/>
        <v>1.17968</v>
      </c>
      <c r="C174" s="4">
        <f t="shared" si="11"/>
        <v>2.4407460000000003</v>
      </c>
      <c r="D174" s="4">
        <f t="shared" si="11"/>
        <v>1.090054</v>
      </c>
      <c r="E174" s="4">
        <f t="shared" si="11"/>
        <v>1.7222604</v>
      </c>
      <c r="F174" s="4">
        <f t="shared" si="11"/>
        <v>4.8177579999999995</v>
      </c>
      <c r="G174" s="4">
        <f t="shared" si="11"/>
        <v>1.029644</v>
      </c>
      <c r="H174" s="4">
        <f t="shared" si="11"/>
        <v>1.38491</v>
      </c>
      <c r="I174" s="4">
        <f t="shared" si="11"/>
        <v>2.929522</v>
      </c>
      <c r="J174" s="4">
        <f t="shared" si="11"/>
        <v>1.0232180000000002</v>
      </c>
      <c r="K174" s="4">
        <f t="shared" si="11"/>
        <v>1.209888</v>
      </c>
      <c r="L174" s="4">
        <f t="shared" si="11"/>
        <v>2.0421099999999996</v>
      </c>
      <c r="M174" s="4">
        <f t="shared" si="11"/>
        <v>5.25817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>
        <v>87</v>
      </c>
      <c r="B175" s="4">
        <f t="shared" si="11"/>
        <v>1.180335</v>
      </c>
      <c r="C175" s="4">
        <f t="shared" si="11"/>
        <v>2.447092</v>
      </c>
      <c r="D175" s="4">
        <f t="shared" si="11"/>
        <v>1.0903880000000001</v>
      </c>
      <c r="E175" s="4">
        <f t="shared" si="11"/>
        <v>1.7258478</v>
      </c>
      <c r="F175" s="4">
        <f t="shared" si="11"/>
        <v>4.838556</v>
      </c>
      <c r="G175" s="4">
        <f t="shared" si="11"/>
        <v>1.0338180000000001</v>
      </c>
      <c r="H175" s="4">
        <f t="shared" si="11"/>
        <v>1.3864</v>
      </c>
      <c r="I175" s="4">
        <f t="shared" si="11"/>
        <v>2.938654</v>
      </c>
      <c r="J175" s="4">
        <f t="shared" si="11"/>
        <v>1.023306</v>
      </c>
      <c r="K175" s="4">
        <f t="shared" si="11"/>
        <v>1.2106910000000002</v>
      </c>
      <c r="L175" s="4">
        <f t="shared" si="11"/>
        <v>2.0465899999999997</v>
      </c>
      <c r="M175" s="4">
        <f t="shared" si="11"/>
        <v>5.282075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>
        <v>88</v>
      </c>
      <c r="B176" s="4">
        <f t="shared" si="11"/>
        <v>1.18099</v>
      </c>
      <c r="C176" s="4">
        <f t="shared" si="11"/>
        <v>2.4534380000000002</v>
      </c>
      <c r="D176" s="4">
        <f t="shared" si="11"/>
        <v>1.090722</v>
      </c>
      <c r="E176" s="4">
        <f t="shared" si="11"/>
        <v>1.7294352</v>
      </c>
      <c r="F176" s="4">
        <f t="shared" si="11"/>
        <v>4.859354</v>
      </c>
      <c r="G176" s="4">
        <f t="shared" si="11"/>
        <v>1.037992</v>
      </c>
      <c r="H176" s="4">
        <f t="shared" si="11"/>
        <v>1.38789</v>
      </c>
      <c r="I176" s="4">
        <f t="shared" si="11"/>
        <v>2.9477860000000002</v>
      </c>
      <c r="J176" s="4">
        <f t="shared" si="11"/>
        <v>1.0233940000000001</v>
      </c>
      <c r="K176" s="4">
        <f t="shared" si="11"/>
        <v>1.211494</v>
      </c>
      <c r="L176" s="4">
        <f t="shared" si="11"/>
        <v>2.0510699999999997</v>
      </c>
      <c r="M176" s="4">
        <f t="shared" si="11"/>
        <v>5.30598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>
        <v>89</v>
      </c>
      <c r="B177" s="4">
        <f t="shared" si="11"/>
        <v>1.1816449999999998</v>
      </c>
      <c r="C177" s="4">
        <f t="shared" si="11"/>
        <v>2.459784</v>
      </c>
      <c r="D177" s="4">
        <f t="shared" si="11"/>
        <v>1.091056</v>
      </c>
      <c r="E177" s="4">
        <f t="shared" si="11"/>
        <v>1.7330226</v>
      </c>
      <c r="F177" s="4">
        <f t="shared" si="11"/>
        <v>4.880152</v>
      </c>
      <c r="G177" s="4">
        <f t="shared" si="11"/>
        <v>1.042166</v>
      </c>
      <c r="H177" s="4">
        <f t="shared" si="11"/>
        <v>1.38938</v>
      </c>
      <c r="I177" s="4">
        <f t="shared" si="11"/>
        <v>2.956918</v>
      </c>
      <c r="J177" s="4">
        <f t="shared" si="11"/>
        <v>1.023482</v>
      </c>
      <c r="K177" s="4">
        <f t="shared" si="11"/>
        <v>1.212297</v>
      </c>
      <c r="L177" s="4">
        <f t="shared" si="11"/>
        <v>2.0555499999999998</v>
      </c>
      <c r="M177" s="4">
        <f t="shared" si="11"/>
        <v>5.329885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>
        <v>90</v>
      </c>
      <c r="B178" s="4">
        <v>1.1823</v>
      </c>
      <c r="C178" s="4">
        <v>2.46613</v>
      </c>
      <c r="D178" s="4">
        <v>1.09139</v>
      </c>
      <c r="E178" s="5">
        <v>1.73661</v>
      </c>
      <c r="F178" s="5">
        <v>4.90095</v>
      </c>
      <c r="G178" s="4">
        <v>1.04634</v>
      </c>
      <c r="H178" s="4">
        <v>1.39087</v>
      </c>
      <c r="I178" s="4">
        <v>2.96605</v>
      </c>
      <c r="J178" s="4">
        <v>1.02357</v>
      </c>
      <c r="K178" s="4">
        <v>1.2131</v>
      </c>
      <c r="L178" s="4">
        <v>2.06003</v>
      </c>
      <c r="M178" s="4">
        <v>5.35379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>
        <v>91</v>
      </c>
      <c r="B179" s="4">
        <f aca="true" t="shared" si="12" ref="B179:M187">B$178+($A179-$A$178)*(B$188-B$178)/($A$188-$A$178)</f>
        <v>1.182898</v>
      </c>
      <c r="C179" s="4">
        <f t="shared" si="12"/>
        <v>2.471981</v>
      </c>
      <c r="D179" s="4">
        <f t="shared" si="12"/>
        <v>1.091695</v>
      </c>
      <c r="E179" s="4">
        <f t="shared" si="12"/>
        <v>1.739295</v>
      </c>
      <c r="F179" s="4">
        <f t="shared" si="12"/>
        <v>4.920377</v>
      </c>
      <c r="G179" s="4">
        <f t="shared" si="12"/>
        <v>1.046499</v>
      </c>
      <c r="H179" s="4">
        <f t="shared" si="12"/>
        <v>1.392233</v>
      </c>
      <c r="I179" s="4">
        <f t="shared" si="12"/>
        <v>2.9749514</v>
      </c>
      <c r="J179" s="4">
        <f t="shared" si="12"/>
        <v>1.0236550000000002</v>
      </c>
      <c r="K179" s="4">
        <f t="shared" si="12"/>
        <v>1.2138330000000002</v>
      </c>
      <c r="L179" s="4">
        <f t="shared" si="12"/>
        <v>2.0641559999999997</v>
      </c>
      <c r="M179" s="4">
        <f t="shared" si="12"/>
        <v>5.376172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>
        <v>92</v>
      </c>
      <c r="B180" s="4">
        <f t="shared" si="12"/>
        <v>1.1834959999999999</v>
      </c>
      <c r="C180" s="4">
        <f t="shared" si="12"/>
        <v>2.4778320000000003</v>
      </c>
      <c r="D180" s="4">
        <f t="shared" si="12"/>
        <v>1.092</v>
      </c>
      <c r="E180" s="4">
        <f t="shared" si="12"/>
        <v>1.74198</v>
      </c>
      <c r="F180" s="4">
        <f t="shared" si="12"/>
        <v>4.939804</v>
      </c>
      <c r="G180" s="4">
        <f t="shared" si="12"/>
        <v>1.046658</v>
      </c>
      <c r="H180" s="4">
        <f t="shared" si="12"/>
        <v>1.393596</v>
      </c>
      <c r="I180" s="4">
        <f t="shared" si="12"/>
        <v>2.9838528</v>
      </c>
      <c r="J180" s="4">
        <f t="shared" si="12"/>
        <v>1.02374</v>
      </c>
      <c r="K180" s="4">
        <f t="shared" si="12"/>
        <v>1.214566</v>
      </c>
      <c r="L180" s="4">
        <f t="shared" si="12"/>
        <v>2.068282</v>
      </c>
      <c r="M180" s="4">
        <f t="shared" si="12"/>
        <v>5.398554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>
        <v>93</v>
      </c>
      <c r="B181" s="4">
        <f t="shared" si="12"/>
        <v>1.184094</v>
      </c>
      <c r="C181" s="4">
        <f t="shared" si="12"/>
        <v>2.483683</v>
      </c>
      <c r="D181" s="4">
        <f t="shared" si="12"/>
        <v>1.092305</v>
      </c>
      <c r="E181" s="4">
        <f t="shared" si="12"/>
        <v>1.744665</v>
      </c>
      <c r="F181" s="4">
        <f t="shared" si="12"/>
        <v>4.959231</v>
      </c>
      <c r="G181" s="4">
        <f t="shared" si="12"/>
        <v>1.046817</v>
      </c>
      <c r="H181" s="4">
        <f t="shared" si="12"/>
        <v>1.394959</v>
      </c>
      <c r="I181" s="4">
        <f t="shared" si="12"/>
        <v>2.9927542</v>
      </c>
      <c r="J181" s="4">
        <f t="shared" si="12"/>
        <v>1.023825</v>
      </c>
      <c r="K181" s="4">
        <f t="shared" si="12"/>
        <v>1.215299</v>
      </c>
      <c r="L181" s="4">
        <f t="shared" si="12"/>
        <v>2.072408</v>
      </c>
      <c r="M181" s="4">
        <f t="shared" si="12"/>
        <v>5.420936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>
        <v>94</v>
      </c>
      <c r="B182" s="4">
        <f t="shared" si="12"/>
        <v>1.1846919999999999</v>
      </c>
      <c r="C182" s="4">
        <f t="shared" si="12"/>
        <v>2.4895340000000004</v>
      </c>
      <c r="D182" s="4">
        <f t="shared" si="12"/>
        <v>1.09261</v>
      </c>
      <c r="E182" s="4">
        <f t="shared" si="12"/>
        <v>1.74735</v>
      </c>
      <c r="F182" s="4">
        <f t="shared" si="12"/>
        <v>4.978658</v>
      </c>
      <c r="G182" s="4">
        <f t="shared" si="12"/>
        <v>1.0469760000000001</v>
      </c>
      <c r="H182" s="4">
        <f t="shared" si="12"/>
        <v>1.396322</v>
      </c>
      <c r="I182" s="4">
        <f t="shared" si="12"/>
        <v>3.0016556</v>
      </c>
      <c r="J182" s="4">
        <f t="shared" si="12"/>
        <v>1.02391</v>
      </c>
      <c r="K182" s="4">
        <f t="shared" si="12"/>
        <v>1.216032</v>
      </c>
      <c r="L182" s="4">
        <f t="shared" si="12"/>
        <v>2.076534</v>
      </c>
      <c r="M182" s="4">
        <f t="shared" si="12"/>
        <v>5.443318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>
        <v>95</v>
      </c>
      <c r="B183" s="4">
        <f t="shared" si="12"/>
        <v>1.18529</v>
      </c>
      <c r="C183" s="4">
        <f t="shared" si="12"/>
        <v>2.495385</v>
      </c>
      <c r="D183" s="4">
        <f t="shared" si="12"/>
        <v>1.092915</v>
      </c>
      <c r="E183" s="4">
        <f t="shared" si="12"/>
        <v>1.750035</v>
      </c>
      <c r="F183" s="4">
        <f t="shared" si="12"/>
        <v>4.998085</v>
      </c>
      <c r="G183" s="4">
        <f t="shared" si="12"/>
        <v>1.047135</v>
      </c>
      <c r="H183" s="4">
        <f t="shared" si="12"/>
        <v>1.397685</v>
      </c>
      <c r="I183" s="4">
        <f t="shared" si="12"/>
        <v>3.010557</v>
      </c>
      <c r="J183" s="4">
        <f t="shared" si="12"/>
        <v>1.0239950000000002</v>
      </c>
      <c r="K183" s="4">
        <f t="shared" si="12"/>
        <v>1.216765</v>
      </c>
      <c r="L183" s="4">
        <f t="shared" si="12"/>
        <v>2.08066</v>
      </c>
      <c r="M183" s="4">
        <f t="shared" si="12"/>
        <v>5.4657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>
        <v>96</v>
      </c>
      <c r="B184" s="4">
        <f t="shared" si="12"/>
        <v>1.185888</v>
      </c>
      <c r="C184" s="4">
        <f t="shared" si="12"/>
        <v>2.501236</v>
      </c>
      <c r="D184" s="4">
        <f t="shared" si="12"/>
        <v>1.09322</v>
      </c>
      <c r="E184" s="4">
        <f t="shared" si="12"/>
        <v>1.75272</v>
      </c>
      <c r="F184" s="4">
        <f t="shared" si="12"/>
        <v>5.017512</v>
      </c>
      <c r="G184" s="4">
        <f t="shared" si="12"/>
        <v>1.047294</v>
      </c>
      <c r="H184" s="4">
        <f t="shared" si="12"/>
        <v>1.399048</v>
      </c>
      <c r="I184" s="4">
        <f t="shared" si="12"/>
        <v>3.0194584</v>
      </c>
      <c r="J184" s="4">
        <f t="shared" si="12"/>
        <v>1.02408</v>
      </c>
      <c r="K184" s="4">
        <f t="shared" si="12"/>
        <v>1.217498</v>
      </c>
      <c r="L184" s="4">
        <f t="shared" si="12"/>
        <v>2.084786</v>
      </c>
      <c r="M184" s="4">
        <f t="shared" si="12"/>
        <v>5.488082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>
        <v>97</v>
      </c>
      <c r="B185" s="4">
        <f t="shared" si="12"/>
        <v>1.186486</v>
      </c>
      <c r="C185" s="4">
        <f t="shared" si="12"/>
        <v>2.5070870000000003</v>
      </c>
      <c r="D185" s="4">
        <f t="shared" si="12"/>
        <v>1.093525</v>
      </c>
      <c r="E185" s="4">
        <f t="shared" si="12"/>
        <v>1.755405</v>
      </c>
      <c r="F185" s="4">
        <f t="shared" si="12"/>
        <v>5.036939</v>
      </c>
      <c r="G185" s="4">
        <f t="shared" si="12"/>
        <v>1.047453</v>
      </c>
      <c r="H185" s="4">
        <f t="shared" si="12"/>
        <v>1.400411</v>
      </c>
      <c r="I185" s="4">
        <f t="shared" si="12"/>
        <v>3.0283598</v>
      </c>
      <c r="J185" s="4">
        <f t="shared" si="12"/>
        <v>1.024165</v>
      </c>
      <c r="K185" s="4">
        <f t="shared" si="12"/>
        <v>1.2182309999999998</v>
      </c>
      <c r="L185" s="4">
        <f t="shared" si="12"/>
        <v>2.088912</v>
      </c>
      <c r="M185" s="4">
        <f t="shared" si="12"/>
        <v>5.510464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>
        <v>98</v>
      </c>
      <c r="B186" s="4">
        <f t="shared" si="12"/>
        <v>1.187084</v>
      </c>
      <c r="C186" s="4">
        <f t="shared" si="12"/>
        <v>2.512938</v>
      </c>
      <c r="D186" s="4">
        <f t="shared" si="12"/>
        <v>1.09383</v>
      </c>
      <c r="E186" s="4">
        <f t="shared" si="12"/>
        <v>1.75809</v>
      </c>
      <c r="F186" s="4">
        <f t="shared" si="12"/>
        <v>5.056366000000001</v>
      </c>
      <c r="G186" s="4">
        <f t="shared" si="12"/>
        <v>1.047612</v>
      </c>
      <c r="H186" s="4">
        <f t="shared" si="12"/>
        <v>1.401774</v>
      </c>
      <c r="I186" s="4">
        <f t="shared" si="12"/>
        <v>3.0372611999999997</v>
      </c>
      <c r="J186" s="4">
        <f t="shared" si="12"/>
        <v>1.02425</v>
      </c>
      <c r="K186" s="4">
        <f t="shared" si="12"/>
        <v>1.218964</v>
      </c>
      <c r="L186" s="4">
        <f t="shared" si="12"/>
        <v>2.093038</v>
      </c>
      <c r="M186" s="4">
        <f t="shared" si="12"/>
        <v>5.532846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>
        <v>99</v>
      </c>
      <c r="B187" s="4">
        <f t="shared" si="12"/>
        <v>1.187682</v>
      </c>
      <c r="C187" s="4">
        <f t="shared" si="12"/>
        <v>2.5187890000000004</v>
      </c>
      <c r="D187" s="4">
        <f t="shared" si="12"/>
        <v>1.094135</v>
      </c>
      <c r="E187" s="4">
        <f t="shared" si="12"/>
        <v>1.760775</v>
      </c>
      <c r="F187" s="4">
        <f t="shared" si="12"/>
        <v>5.075793</v>
      </c>
      <c r="G187" s="4">
        <f t="shared" si="12"/>
        <v>1.047771</v>
      </c>
      <c r="H187" s="4">
        <f t="shared" si="12"/>
        <v>1.403137</v>
      </c>
      <c r="I187" s="4">
        <f t="shared" si="12"/>
        <v>3.0461625999999997</v>
      </c>
      <c r="J187" s="4">
        <f t="shared" si="12"/>
        <v>1.0243350000000002</v>
      </c>
      <c r="K187" s="4">
        <f t="shared" si="12"/>
        <v>1.219697</v>
      </c>
      <c r="L187" s="4">
        <f t="shared" si="12"/>
        <v>2.0971640000000003</v>
      </c>
      <c r="M187" s="4">
        <f t="shared" si="12"/>
        <v>5.555228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>
        <v>100</v>
      </c>
      <c r="B188" s="4">
        <v>1.18828</v>
      </c>
      <c r="C188" s="4">
        <v>2.52464</v>
      </c>
      <c r="D188" s="4">
        <v>1.09444</v>
      </c>
      <c r="E188" s="5">
        <v>1.76346</v>
      </c>
      <c r="F188" s="5">
        <v>5.09522</v>
      </c>
      <c r="G188" s="4">
        <v>1.04793</v>
      </c>
      <c r="H188" s="4">
        <v>1.4045</v>
      </c>
      <c r="I188" s="4">
        <v>3.055064</v>
      </c>
      <c r="J188" s="4">
        <v>1.02442</v>
      </c>
      <c r="K188" s="4">
        <v>1.22043</v>
      </c>
      <c r="L188" s="4">
        <v>2.10129</v>
      </c>
      <c r="M188" s="4">
        <v>5.57761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5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8" t="s">
        <v>24</v>
      </c>
      <c r="B193" s="11" t="s">
        <v>38</v>
      </c>
      <c r="C193" s="10" t="s">
        <v>32</v>
      </c>
      <c r="D193" s="8" t="s">
        <v>29</v>
      </c>
      <c r="E193" s="15" t="s">
        <v>33</v>
      </c>
      <c r="F193" s="8" t="s">
        <v>25</v>
      </c>
      <c r="G193" s="11" t="s">
        <v>26</v>
      </c>
      <c r="H193" s="8" t="s">
        <v>27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5">
        <v>1</v>
      </c>
      <c r="B194" s="5">
        <f>$B$10+0.01*($B$11-$B$10)*(A194-1)</f>
        <v>0</v>
      </c>
      <c r="C194" s="5">
        <f aca="true" t="shared" si="13" ref="C194:C225">PI()/2*B194/$G$6</f>
        <v>0</v>
      </c>
      <c r="D194" s="4">
        <f>COS(C194)</f>
        <v>1</v>
      </c>
      <c r="E194" s="5">
        <f aca="true" t="shared" si="14" ref="E194:E225">1/(($G$5-1)^2/(4*$G$5)*$D194^(2*$B$7)+1)</f>
        <v>0.5555555555555556</v>
      </c>
      <c r="F194" s="4">
        <f>10*LOG10(E194)</f>
        <v>-2.5527250510330606</v>
      </c>
      <c r="G194" s="5">
        <f aca="true" t="shared" si="15" ref="G194:G225">10*LOG10(1-10^(0.1*MIN(-0.000001,$F194)))</f>
        <v>-3.521825181113625</v>
      </c>
      <c r="H194" s="4">
        <f aca="true" t="shared" si="16" ref="H194:H225">(1+10^(0.05*$G194))/(1-10^(0.05*$G194))</f>
        <v>4.999999999999997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5">
        <v>2</v>
      </c>
      <c r="B195" s="5">
        <f aca="true" t="shared" si="17" ref="B195:B258">$B$10+0.01*($B$11-$B$10)*(A195-1)</f>
        <v>0.2</v>
      </c>
      <c r="C195" s="5">
        <f t="shared" si="13"/>
        <v>0.031415926535897934</v>
      </c>
      <c r="D195" s="4">
        <f aca="true" t="shared" si="18" ref="D195:D258">COS(C195)</f>
        <v>0.9995065603657316</v>
      </c>
      <c r="E195" s="5">
        <f t="shared" si="14"/>
        <v>0.5575045626154443</v>
      </c>
      <c r="F195" s="4">
        <f aca="true" t="shared" si="19" ref="F195:F258">10*LOG10(E195)</f>
        <v>-2.5375157400069477</v>
      </c>
      <c r="G195" s="5">
        <f t="shared" si="15"/>
        <v>-3.540912029976276</v>
      </c>
      <c r="H195" s="4">
        <f t="shared" si="16"/>
        <v>4.973774627026725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5">
        <v>3</v>
      </c>
      <c r="B196" s="5">
        <f t="shared" si="17"/>
        <v>0.4</v>
      </c>
      <c r="C196" s="5">
        <f t="shared" si="13"/>
        <v>0.06283185307179587</v>
      </c>
      <c r="D196" s="4">
        <f t="shared" si="18"/>
        <v>0.9980267284282716</v>
      </c>
      <c r="E196" s="5">
        <f t="shared" si="14"/>
        <v>0.5633445740545886</v>
      </c>
      <c r="F196" s="4">
        <f t="shared" si="19"/>
        <v>-2.492258843050853</v>
      </c>
      <c r="G196" s="5">
        <f t="shared" si="15"/>
        <v>-3.598611388640094</v>
      </c>
      <c r="H196" s="4">
        <f t="shared" si="16"/>
        <v>4.896210446907007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5">
        <v>4</v>
      </c>
      <c r="B197" s="5">
        <f t="shared" si="17"/>
        <v>0.6000000000000001</v>
      </c>
      <c r="C197" s="5">
        <f t="shared" si="13"/>
        <v>0.0942477796076938</v>
      </c>
      <c r="D197" s="4">
        <f t="shared" si="18"/>
        <v>0.99556196460308</v>
      </c>
      <c r="E197" s="5">
        <f t="shared" si="14"/>
        <v>0.5730510011873439</v>
      </c>
      <c r="F197" s="4">
        <f t="shared" si="19"/>
        <v>-2.418067243702065</v>
      </c>
      <c r="G197" s="5">
        <f t="shared" si="15"/>
        <v>-3.6962400051857665</v>
      </c>
      <c r="H197" s="4">
        <f t="shared" si="16"/>
        <v>4.770562623942033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5">
        <v>5</v>
      </c>
      <c r="B198" s="5">
        <f t="shared" si="17"/>
        <v>0.8</v>
      </c>
      <c r="C198" s="5">
        <f t="shared" si="13"/>
        <v>0.12566370614359174</v>
      </c>
      <c r="D198" s="4">
        <f t="shared" si="18"/>
        <v>0.9921147013144779</v>
      </c>
      <c r="E198" s="5">
        <f t="shared" si="14"/>
        <v>0.5865711118179036</v>
      </c>
      <c r="F198" s="4">
        <f t="shared" si="19"/>
        <v>-2.316793295024349</v>
      </c>
      <c r="G198" s="5">
        <f t="shared" si="15"/>
        <v>-3.835991804911596</v>
      </c>
      <c r="H198" s="4">
        <f t="shared" si="16"/>
        <v>4.601995487531506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5">
        <v>6</v>
      </c>
      <c r="B199" s="5">
        <f t="shared" si="17"/>
        <v>1</v>
      </c>
      <c r="C199" s="5">
        <f t="shared" si="13"/>
        <v>0.15707963267948966</v>
      </c>
      <c r="D199" s="4">
        <f t="shared" si="18"/>
        <v>0.9876883405951378</v>
      </c>
      <c r="E199" s="5">
        <f t="shared" si="14"/>
        <v>0.6038069088452711</v>
      </c>
      <c r="F199" s="4">
        <f t="shared" si="19"/>
        <v>-2.19101922024727</v>
      </c>
      <c r="G199" s="5">
        <f t="shared" si="15"/>
        <v>-4.020931019916632</v>
      </c>
      <c r="H199" s="4">
        <f t="shared" si="16"/>
        <v>4.397217843413766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5">
        <v>7</v>
      </c>
      <c r="B200" s="5">
        <f t="shared" si="17"/>
        <v>1.2000000000000002</v>
      </c>
      <c r="C200" s="5">
        <f t="shared" si="13"/>
        <v>0.1884955592153876</v>
      </c>
      <c r="D200" s="4">
        <f t="shared" si="18"/>
        <v>0.9822872507286887</v>
      </c>
      <c r="E200" s="5">
        <f t="shared" si="14"/>
        <v>0.6245925410397081</v>
      </c>
      <c r="F200" s="4">
        <f t="shared" si="19"/>
        <v>-2.0440320647251573</v>
      </c>
      <c r="G200" s="5">
        <f t="shared" si="15"/>
        <v>-4.254971026440446</v>
      </c>
      <c r="H200" s="4">
        <f t="shared" si="16"/>
        <v>4.164022713229649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5">
        <v>8</v>
      </c>
      <c r="B201" s="5">
        <f t="shared" si="17"/>
        <v>1.4000000000000001</v>
      </c>
      <c r="C201" s="5">
        <f t="shared" si="13"/>
        <v>0.21991148575128552</v>
      </c>
      <c r="D201" s="4">
        <f t="shared" si="18"/>
        <v>0.9759167619387474</v>
      </c>
      <c r="E201" s="5">
        <f t="shared" si="14"/>
        <v>0.64866842497849</v>
      </c>
      <c r="F201" s="4">
        <f t="shared" si="19"/>
        <v>-1.8797724156622855</v>
      </c>
      <c r="G201" s="5">
        <f t="shared" si="15"/>
        <v>-4.542828173546143</v>
      </c>
      <c r="H201" s="4">
        <f t="shared" si="16"/>
        <v>3.910774857912799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5">
        <v>9</v>
      </c>
      <c r="B202" s="5">
        <f t="shared" si="17"/>
        <v>1.6</v>
      </c>
      <c r="C202" s="5">
        <f t="shared" si="13"/>
        <v>0.25132741228718347</v>
      </c>
      <c r="D202" s="4">
        <f t="shared" si="18"/>
        <v>0.9685831611286311</v>
      </c>
      <c r="E202" s="5">
        <f t="shared" si="14"/>
        <v>0.6756558036794148</v>
      </c>
      <c r="F202" s="4">
        <f t="shared" si="19"/>
        <v>-1.702744884243036</v>
      </c>
      <c r="G202" s="5">
        <f t="shared" si="15"/>
        <v>-4.889938687480751</v>
      </c>
      <c r="H202" s="4">
        <f t="shared" si="16"/>
        <v>3.6458928811874394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5">
        <v>10</v>
      </c>
      <c r="B203" s="5">
        <f t="shared" si="17"/>
        <v>1.8</v>
      </c>
      <c r="C203" s="5">
        <f t="shared" si="13"/>
        <v>0.2827433388230814</v>
      </c>
      <c r="D203" s="4">
        <f t="shared" si="18"/>
        <v>0.9602936856769431</v>
      </c>
      <c r="E203" s="5">
        <f t="shared" si="14"/>
        <v>0.7050372270821854</v>
      </c>
      <c r="F203" s="4">
        <f t="shared" si="19"/>
        <v>-1.5178795096671798</v>
      </c>
      <c r="G203" s="5">
        <f t="shared" si="15"/>
        <v>-5.302327926203931</v>
      </c>
      <c r="H203" s="4">
        <f t="shared" si="16"/>
        <v>3.3773709923318225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5">
        <v>11</v>
      </c>
      <c r="B204" s="5">
        <f t="shared" si="17"/>
        <v>2</v>
      </c>
      <c r="C204" s="5">
        <f t="shared" si="13"/>
        <v>0.3141592653589793</v>
      </c>
      <c r="D204" s="4">
        <f t="shared" si="18"/>
        <v>0.9510565162951535</v>
      </c>
      <c r="E204" s="5">
        <f t="shared" si="14"/>
        <v>0.7361498150123512</v>
      </c>
      <c r="F204" s="4">
        <f t="shared" si="19"/>
        <v>-1.3303379271127904</v>
      </c>
      <c r="G204" s="5">
        <f t="shared" si="15"/>
        <v>-5.786425969991299</v>
      </c>
      <c r="H204" s="4">
        <f t="shared" si="16"/>
        <v>3.112378928998601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5">
        <v>12</v>
      </c>
      <c r="B205" s="5">
        <f t="shared" si="17"/>
        <v>2.2</v>
      </c>
      <c r="C205" s="5">
        <f t="shared" si="13"/>
        <v>0.3455751918948773</v>
      </c>
      <c r="D205" s="4">
        <f t="shared" si="18"/>
        <v>0.9408807689542255</v>
      </c>
      <c r="E205" s="5">
        <f t="shared" si="14"/>
        <v>0.768198225184319</v>
      </c>
      <c r="F205" s="4">
        <f t="shared" si="19"/>
        <v>-1.1452670054697784</v>
      </c>
      <c r="G205" s="5">
        <f t="shared" si="15"/>
        <v>-6.3488324313641815</v>
      </c>
      <c r="H205" s="4">
        <f t="shared" si="16"/>
        <v>2.8569679525212033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5">
        <v>13</v>
      </c>
      <c r="B206" s="5">
        <f t="shared" si="17"/>
        <v>2.4000000000000004</v>
      </c>
      <c r="C206" s="5">
        <f t="shared" si="13"/>
        <v>0.3769911184307752</v>
      </c>
      <c r="D206" s="4">
        <f t="shared" si="18"/>
        <v>0.9297764858882513</v>
      </c>
      <c r="E206" s="5">
        <f t="shared" si="14"/>
        <v>0.8002920226239073</v>
      </c>
      <c r="F206" s="4">
        <f t="shared" si="19"/>
        <v>-0.967515121672491</v>
      </c>
      <c r="G206" s="5">
        <f t="shared" si="15"/>
        <v>-6.99604586800702</v>
      </c>
      <c r="H206" s="4">
        <f t="shared" si="16"/>
        <v>2.615897557672613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5">
        <v>14</v>
      </c>
      <c r="B207" s="5">
        <f t="shared" si="17"/>
        <v>2.6</v>
      </c>
      <c r="C207" s="5">
        <f t="shared" si="13"/>
        <v>0.4084070449666731</v>
      </c>
      <c r="D207" s="4">
        <f t="shared" si="18"/>
        <v>0.9177546256839811</v>
      </c>
      <c r="E207" s="5">
        <f t="shared" si="14"/>
        <v>0.8315072104459933</v>
      </c>
      <c r="F207" s="4">
        <f t="shared" si="19"/>
        <v>-0.8013398042722848</v>
      </c>
      <c r="G207" s="5">
        <f t="shared" si="15"/>
        <v>-7.734186795042714</v>
      </c>
      <c r="H207" s="4">
        <f t="shared" si="16"/>
        <v>2.3925832859619476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5">
        <v>15</v>
      </c>
      <c r="B208" s="5">
        <f t="shared" si="17"/>
        <v>2.8000000000000003</v>
      </c>
      <c r="C208" s="5">
        <f t="shared" si="13"/>
        <v>0.43982297150257105</v>
      </c>
      <c r="D208" s="4">
        <f t="shared" si="18"/>
        <v>0.9048270524660196</v>
      </c>
      <c r="E208" s="5">
        <f t="shared" si="14"/>
        <v>0.8609648432816808</v>
      </c>
      <c r="F208" s="4">
        <f t="shared" si="19"/>
        <v>-0.6501458220546095</v>
      </c>
      <c r="G208" s="5">
        <f t="shared" si="15"/>
        <v>-8.568753692551892</v>
      </c>
      <c r="H208" s="4">
        <f t="shared" si="16"/>
        <v>2.189152714444864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5">
        <v>16</v>
      </c>
      <c r="B209" s="5">
        <f t="shared" si="17"/>
        <v>3</v>
      </c>
      <c r="C209" s="5">
        <f t="shared" si="13"/>
        <v>0.47123889803846897</v>
      </c>
      <c r="D209" s="4">
        <f t="shared" si="18"/>
        <v>0.8910065241883679</v>
      </c>
      <c r="E209" s="5">
        <f t="shared" si="14"/>
        <v>0.8879131601361988</v>
      </c>
      <c r="F209" s="4">
        <f t="shared" si="19"/>
        <v>-0.516295071018694</v>
      </c>
      <c r="G209" s="5">
        <f t="shared" si="15"/>
        <v>-9.504453750057467</v>
      </c>
      <c r="H209" s="4">
        <f t="shared" si="16"/>
        <v>2.006586200685786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5">
        <v>17</v>
      </c>
      <c r="B210" s="5">
        <f t="shared" si="17"/>
        <v>3.2</v>
      </c>
      <c r="C210" s="5">
        <f t="shared" si="13"/>
        <v>0.5026548245743669</v>
      </c>
      <c r="D210" s="4">
        <f t="shared" si="18"/>
        <v>0.8763066800438636</v>
      </c>
      <c r="E210" s="5">
        <f t="shared" si="14"/>
        <v>0.9117964914666452</v>
      </c>
      <c r="F210" s="4">
        <f t="shared" si="19"/>
        <v>-0.4010208326764628</v>
      </c>
      <c r="G210" s="5">
        <f t="shared" si="15"/>
        <v>-10.545141392857564</v>
      </c>
      <c r="H210" s="4">
        <f t="shared" si="16"/>
        <v>1.8449128003915196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5">
        <v>18</v>
      </c>
      <c r="B211" s="5">
        <f t="shared" si="17"/>
        <v>3.4000000000000004</v>
      </c>
      <c r="C211" s="5">
        <f t="shared" si="13"/>
        <v>0.5340707511102649</v>
      </c>
      <c r="D211" s="4">
        <f t="shared" si="18"/>
        <v>0.8607420270039436</v>
      </c>
      <c r="E211" s="5">
        <f t="shared" si="14"/>
        <v>0.9322963463595387</v>
      </c>
      <c r="F211" s="4">
        <f t="shared" si="19"/>
        <v>-0.304460177624241</v>
      </c>
      <c r="G211" s="5">
        <f t="shared" si="15"/>
        <v>-11.693878938986721</v>
      </c>
      <c r="H211" s="4">
        <f t="shared" si="16"/>
        <v>1.703430647329668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5">
        <v>19</v>
      </c>
      <c r="B212" s="5">
        <f t="shared" si="17"/>
        <v>3.6</v>
      </c>
      <c r="C212" s="5">
        <f t="shared" si="13"/>
        <v>0.5654866776461628</v>
      </c>
      <c r="D212" s="4">
        <f t="shared" si="18"/>
        <v>0.8443279255020151</v>
      </c>
      <c r="E212" s="5">
        <f t="shared" si="14"/>
        <v>0.9493372273312212</v>
      </c>
      <c r="F212" s="4">
        <f t="shared" si="19"/>
        <v>-0.22579488359134206</v>
      </c>
      <c r="G212" s="5">
        <f t="shared" si="15"/>
        <v>-12.953110458561747</v>
      </c>
      <c r="H212" s="4">
        <f t="shared" si="16"/>
        <v>1.5809246458319486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5">
        <v>20</v>
      </c>
      <c r="B213" s="5">
        <f t="shared" si="17"/>
        <v>3.8000000000000003</v>
      </c>
      <c r="C213" s="5">
        <f t="shared" si="13"/>
        <v>0.5969026041820606</v>
      </c>
      <c r="D213" s="4">
        <f t="shared" si="18"/>
        <v>0.8270805742745618</v>
      </c>
      <c r="E213" s="5">
        <f t="shared" si="14"/>
        <v>0.9630590521410061</v>
      </c>
      <c r="F213" s="4">
        <f t="shared" si="19"/>
        <v>-0.16347082311918604</v>
      </c>
      <c r="G213" s="5">
        <f t="shared" si="15"/>
        <v>-14.324919652940062</v>
      </c>
      <c r="H213" s="4">
        <f t="shared" si="16"/>
        <v>1.4758612214690117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5">
        <v>21</v>
      </c>
      <c r="B214" s="5">
        <f t="shared" si="17"/>
        <v>4</v>
      </c>
      <c r="C214" s="5">
        <f t="shared" si="13"/>
        <v>0.6283185307179586</v>
      </c>
      <c r="D214" s="4">
        <f t="shared" si="18"/>
        <v>0.8090169943749475</v>
      </c>
      <c r="E214" s="5">
        <f t="shared" si="14"/>
        <v>0.9737658592510973</v>
      </c>
      <c r="F214" s="4">
        <f t="shared" si="19"/>
        <v>-0.11545456118710601</v>
      </c>
      <c r="G214" s="5">
        <f t="shared" si="15"/>
        <v>-15.811331557508057</v>
      </c>
      <c r="H214" s="4">
        <f t="shared" si="16"/>
        <v>1.3865481754470914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5">
        <v>22</v>
      </c>
      <c r="B215" s="5">
        <f t="shared" si="17"/>
        <v>4.2</v>
      </c>
      <c r="C215" s="5">
        <f t="shared" si="13"/>
        <v>0.6597344572538566</v>
      </c>
      <c r="D215" s="4">
        <f t="shared" si="18"/>
        <v>0.7901550123756903</v>
      </c>
      <c r="E215" s="5">
        <f t="shared" si="14"/>
        <v>0.981864139104581</v>
      </c>
      <c r="F215" s="4">
        <f t="shared" si="19"/>
        <v>-0.07948601540113377</v>
      </c>
      <c r="G215" s="5">
        <f t="shared" si="15"/>
        <v>-17.41461823967977</v>
      </c>
      <c r="H215" s="4">
        <f t="shared" si="16"/>
        <v>1.3112555093931677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5">
        <v>23</v>
      </c>
      <c r="B216" s="5">
        <f t="shared" si="17"/>
        <v>4.4</v>
      </c>
      <c r="C216" s="5">
        <f t="shared" si="13"/>
        <v>0.6911503837897546</v>
      </c>
      <c r="D216" s="4">
        <f t="shared" si="18"/>
        <v>0.7705132427757891</v>
      </c>
      <c r="E216" s="5">
        <f t="shared" si="14"/>
        <v>0.9878033045748923</v>
      </c>
      <c r="F216" s="4">
        <f t="shared" si="19"/>
        <v>-0.0532952529307741</v>
      </c>
      <c r="G216" s="5">
        <f t="shared" si="15"/>
        <v>-19.137578212141268</v>
      </c>
      <c r="H216" s="4">
        <f t="shared" si="16"/>
        <v>1.2482991196895767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5">
        <v>24</v>
      </c>
      <c r="B217" s="5">
        <f t="shared" si="17"/>
        <v>4.6000000000000005</v>
      </c>
      <c r="C217" s="5">
        <f t="shared" si="13"/>
        <v>0.7225663103256525</v>
      </c>
      <c r="D217" s="4">
        <f t="shared" si="18"/>
        <v>0.7501110696304595</v>
      </c>
      <c r="E217" s="5">
        <f t="shared" si="14"/>
        <v>0.9920269834644584</v>
      </c>
      <c r="F217" s="4">
        <f t="shared" si="19"/>
        <v>-0.03476514730561016</v>
      </c>
      <c r="G217" s="5">
        <f t="shared" si="15"/>
        <v>-20.983773352058993</v>
      </c>
      <c r="H217" s="4">
        <f t="shared" si="16"/>
        <v>1.196092984756882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5">
        <v>25</v>
      </c>
      <c r="B218" s="5">
        <f t="shared" si="17"/>
        <v>4.800000000000001</v>
      </c>
      <c r="C218" s="5">
        <f t="shared" si="13"/>
        <v>0.7539822368615504</v>
      </c>
      <c r="D218" s="4">
        <f t="shared" si="18"/>
        <v>0.7289686274214116</v>
      </c>
      <c r="E218" s="5">
        <f t="shared" si="14"/>
        <v>0.9949390984035248</v>
      </c>
      <c r="F218" s="4">
        <f t="shared" si="19"/>
        <v>-0.022035022058008096</v>
      </c>
      <c r="G218" s="5">
        <f t="shared" si="15"/>
        <v>-22.957721069756012</v>
      </c>
      <c r="H218" s="4">
        <f t="shared" si="16"/>
        <v>1.153177045209624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5">
        <v>26</v>
      </c>
      <c r="B219" s="5">
        <f t="shared" si="17"/>
        <v>5</v>
      </c>
      <c r="C219" s="5">
        <f t="shared" si="13"/>
        <v>0.7853981633974483</v>
      </c>
      <c r="D219" s="4">
        <f t="shared" si="18"/>
        <v>0.7071067811865476</v>
      </c>
      <c r="E219" s="5">
        <f t="shared" si="14"/>
        <v>0.9968847352024922</v>
      </c>
      <c r="F219" s="4">
        <f t="shared" si="19"/>
        <v>-0.013550540849661022</v>
      </c>
      <c r="G219" s="5">
        <f t="shared" si="15"/>
        <v>-25.06505032404872</v>
      </c>
      <c r="H219" s="4">
        <f t="shared" si="16"/>
        <v>1.1182279554198056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5">
        <v>27</v>
      </c>
      <c r="B220" s="5">
        <f t="shared" si="17"/>
        <v>5.2</v>
      </c>
      <c r="C220" s="5">
        <f t="shared" si="13"/>
        <v>0.8168140899333463</v>
      </c>
      <c r="D220" s="4">
        <f t="shared" si="18"/>
        <v>0.6845471059286886</v>
      </c>
      <c r="E220" s="5">
        <f t="shared" si="14"/>
        <v>0.9981433231920733</v>
      </c>
      <c r="F220" s="4">
        <f t="shared" si="19"/>
        <v>-0.008070939807682226</v>
      </c>
      <c r="G220" s="5">
        <f t="shared" si="15"/>
        <v>-27.312636874016437</v>
      </c>
      <c r="H220" s="4">
        <f t="shared" si="16"/>
        <v>1.0900589093960915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5">
        <v>28</v>
      </c>
      <c r="B221" s="5">
        <f t="shared" si="17"/>
        <v>5.4</v>
      </c>
      <c r="C221" s="5">
        <f t="shared" si="13"/>
        <v>0.8482300164692441</v>
      </c>
      <c r="D221" s="4">
        <f t="shared" si="18"/>
        <v>0.6613118653236519</v>
      </c>
      <c r="E221" s="5">
        <f t="shared" si="14"/>
        <v>0.998930634034886</v>
      </c>
      <c r="F221" s="4">
        <f t="shared" si="19"/>
        <v>-0.004646682322848728</v>
      </c>
      <c r="G221" s="5">
        <f t="shared" si="15"/>
        <v>-29.708736423774496</v>
      </c>
      <c r="H221" s="4">
        <f t="shared" si="16"/>
        <v>1.0676133584054062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5">
        <v>29</v>
      </c>
      <c r="B222" s="5">
        <f t="shared" si="17"/>
        <v>5.6000000000000005</v>
      </c>
      <c r="C222" s="5">
        <f t="shared" si="13"/>
        <v>0.8796459430051421</v>
      </c>
      <c r="D222" s="4">
        <f t="shared" si="18"/>
        <v>0.6374239897486897</v>
      </c>
      <c r="E222" s="5">
        <f t="shared" si="14"/>
        <v>0.9994061367263839</v>
      </c>
      <c r="F222" s="4">
        <f t="shared" si="19"/>
        <v>-0.002579881551660509</v>
      </c>
      <c r="G222" s="5">
        <f t="shared" si="15"/>
        <v>-32.26313532037439</v>
      </c>
      <c r="H222" s="4">
        <f t="shared" si="16"/>
        <v>1.049956013742562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5">
        <v>30</v>
      </c>
      <c r="B223" s="5">
        <f t="shared" si="17"/>
        <v>5.800000000000001</v>
      </c>
      <c r="C223" s="5">
        <f t="shared" si="13"/>
        <v>0.9110618695410402</v>
      </c>
      <c r="D223" s="4">
        <f t="shared" si="18"/>
        <v>0.6129070536529764</v>
      </c>
      <c r="E223" s="5">
        <f t="shared" si="14"/>
        <v>0.9996828489601406</v>
      </c>
      <c r="F223" s="4">
        <f t="shared" si="19"/>
        <v>-0.0013775879286790987</v>
      </c>
      <c r="G223" s="5">
        <f t="shared" si="15"/>
        <v>-34.987338603205515</v>
      </c>
      <c r="H223" s="4">
        <f t="shared" si="16"/>
        <v>1.0362632728773633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5">
        <v>31</v>
      </c>
      <c r="B224" s="5">
        <f t="shared" si="17"/>
        <v>6</v>
      </c>
      <c r="C224" s="5">
        <f t="shared" si="13"/>
        <v>0.9424777960769379</v>
      </c>
      <c r="D224" s="4">
        <f t="shared" si="18"/>
        <v>0.5877852522924731</v>
      </c>
      <c r="E224" s="5">
        <f t="shared" si="14"/>
        <v>0.9998376252753796</v>
      </c>
      <c r="F224" s="4">
        <f t="shared" si="19"/>
        <v>-0.0007052417272974347</v>
      </c>
      <c r="G224" s="5">
        <f t="shared" si="15"/>
        <v>-37.89481572460408</v>
      </c>
      <c r="H224" s="4">
        <f t="shared" si="16"/>
        <v>1.025814209288242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5">
        <v>32</v>
      </c>
      <c r="B225" s="5">
        <f t="shared" si="17"/>
        <v>6.2</v>
      </c>
      <c r="C225" s="5">
        <f t="shared" si="13"/>
        <v>0.9738937226128359</v>
      </c>
      <c r="D225" s="4">
        <f t="shared" si="18"/>
        <v>0.5620833778521306</v>
      </c>
      <c r="E225" s="5">
        <f t="shared" si="14"/>
        <v>0.9999205914297469</v>
      </c>
      <c r="F225" s="4">
        <f t="shared" si="19"/>
        <v>-0.00034488073219175085</v>
      </c>
      <c r="G225" s="5">
        <f t="shared" si="15"/>
        <v>-41.00132623356498</v>
      </c>
      <c r="H225" s="4">
        <f t="shared" si="16"/>
        <v>1.017982542407448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5">
        <v>33</v>
      </c>
      <c r="B226" s="5">
        <f t="shared" si="17"/>
        <v>6.4</v>
      </c>
      <c r="C226" s="5">
        <f aca="true" t="shared" si="20" ref="C226:C257">PI()/2*B226/$G$6</f>
        <v>1.0053096491487339</v>
      </c>
      <c r="D226" s="4">
        <f t="shared" si="18"/>
        <v>0.5358267949789965</v>
      </c>
      <c r="E226" s="5">
        <f aca="true" t="shared" si="21" ref="E226:E257">1/(($G$5-1)^2/(4*$G$5)*$D226^(2*$B$7)+1)</f>
        <v>0.9999630627307751</v>
      </c>
      <c r="F226" s="4">
        <f t="shared" si="19"/>
        <v>-0.00016041948475672803</v>
      </c>
      <c r="G226" s="5">
        <f aca="true" t="shared" si="22" ref="G226:G257">10*LOG10(1-10^(0.1*MIN(-0.000001,$F226)))</f>
        <v>-44.32535215132381</v>
      </c>
      <c r="H226" s="4">
        <f aca="true" t="shared" si="23" ref="H226:H257">(1+10^(0.05*$G226))/(1-10^(0.05*$G226))</f>
        <v>1.0122295340738554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5">
        <v>34</v>
      </c>
      <c r="B227" s="5">
        <f t="shared" si="17"/>
        <v>6.6000000000000005</v>
      </c>
      <c r="C227" s="5">
        <f t="shared" si="20"/>
        <v>1.0367255756846316</v>
      </c>
      <c r="D227" s="4">
        <f t="shared" si="18"/>
        <v>0.5090414157503714</v>
      </c>
      <c r="E227" s="5">
        <f t="shared" si="21"/>
        <v>0.999983739540479</v>
      </c>
      <c r="F227" s="4">
        <f t="shared" si="19"/>
        <v>-7.061885258072449E-05</v>
      </c>
      <c r="G227" s="5">
        <f t="shared" si="22"/>
        <v>-47.88867185396295</v>
      </c>
      <c r="H227" s="4">
        <f t="shared" si="23"/>
        <v>1.0080975046069087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5">
        <v>35</v>
      </c>
      <c r="B228" s="5">
        <f t="shared" si="17"/>
        <v>6.800000000000001</v>
      </c>
      <c r="C228" s="5">
        <f t="shared" si="20"/>
        <v>1.0681415022205298</v>
      </c>
      <c r="D228" s="4">
        <f t="shared" si="18"/>
        <v>0.48175367410171516</v>
      </c>
      <c r="E228" s="5">
        <f t="shared" si="21"/>
        <v>0.9999932657748828</v>
      </c>
      <c r="F228" s="4">
        <f t="shared" si="19"/>
        <v>-2.9246466559245062E-05</v>
      </c>
      <c r="G228" s="5">
        <f t="shared" si="22"/>
        <v>-51.71712369752455</v>
      </c>
      <c r="H228" s="4">
        <f t="shared" si="23"/>
        <v>1.0052035806082036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5">
        <v>36</v>
      </c>
      <c r="B229" s="5">
        <f t="shared" si="17"/>
        <v>7</v>
      </c>
      <c r="C229" s="5">
        <f t="shared" si="20"/>
        <v>1.0995574287564276</v>
      </c>
      <c r="D229" s="4">
        <f t="shared" si="18"/>
        <v>0.4539904997395468</v>
      </c>
      <c r="E229" s="5">
        <f t="shared" si="21"/>
        <v>0.9999973948238525</v>
      </c>
      <c r="F229" s="4">
        <f t="shared" si="19"/>
        <v>-1.131415099002538E-05</v>
      </c>
      <c r="G229" s="5">
        <f t="shared" si="22"/>
        <v>-55.841629068021504</v>
      </c>
      <c r="H229" s="4">
        <f t="shared" si="23"/>
        <v>1.0032333303892962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5">
        <v>37</v>
      </c>
      <c r="B230" s="5">
        <f t="shared" si="17"/>
        <v>7.2</v>
      </c>
      <c r="C230" s="5">
        <f t="shared" si="20"/>
        <v>1.1309733552923256</v>
      </c>
      <c r="D230" s="4">
        <f t="shared" si="18"/>
        <v>0.42577929156507266</v>
      </c>
      <c r="E230" s="5">
        <f t="shared" si="21"/>
        <v>0.9999990666551355</v>
      </c>
      <c r="F230" s="4">
        <f t="shared" si="19"/>
        <v>-4.0534671353211205E-06</v>
      </c>
      <c r="G230" s="5">
        <f t="shared" si="22"/>
        <v>-60.29957857776756</v>
      </c>
      <c r="H230" s="4">
        <f t="shared" si="23"/>
        <v>1.0019340639968977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5">
        <v>38</v>
      </c>
      <c r="B231" s="5">
        <f t="shared" si="17"/>
        <v>7.4</v>
      </c>
      <c r="C231" s="5">
        <f t="shared" si="20"/>
        <v>1.1623892818282235</v>
      </c>
      <c r="D231" s="4">
        <f t="shared" si="18"/>
        <v>0.39714789063478056</v>
      </c>
      <c r="E231" s="5">
        <f t="shared" si="21"/>
        <v>0.9999996935737139</v>
      </c>
      <c r="F231" s="4">
        <f t="shared" si="19"/>
        <v>-1.3307926556281295E-06</v>
      </c>
      <c r="G231" s="5">
        <f t="shared" si="22"/>
        <v>-65.1367398241899</v>
      </c>
      <c r="H231" s="4">
        <f t="shared" si="23"/>
        <v>1.0011077288790504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5">
        <v>39</v>
      </c>
      <c r="B232" s="5">
        <f t="shared" si="17"/>
        <v>7.6000000000000005</v>
      </c>
      <c r="C232" s="5">
        <f t="shared" si="20"/>
        <v>1.1938052083641213</v>
      </c>
      <c r="D232" s="4">
        <f t="shared" si="18"/>
        <v>0.3681245526846781</v>
      </c>
      <c r="E232" s="5">
        <f t="shared" si="21"/>
        <v>0.9999999090073114</v>
      </c>
      <c r="F232" s="4">
        <f t="shared" si="19"/>
        <v>-3.951762435308998E-07</v>
      </c>
      <c r="G232" s="5">
        <f t="shared" si="22"/>
        <v>-66.37784361422644</v>
      </c>
      <c r="H232" s="4">
        <f t="shared" si="23"/>
        <v>1.0009601658651093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5">
        <v>40</v>
      </c>
      <c r="B233" s="5">
        <f t="shared" si="17"/>
        <v>7.800000000000001</v>
      </c>
      <c r="C233" s="5">
        <f t="shared" si="20"/>
        <v>1.2252211349000195</v>
      </c>
      <c r="D233" s="4">
        <f t="shared" si="18"/>
        <v>0.33873792024529126</v>
      </c>
      <c r="E233" s="5">
        <f t="shared" si="21"/>
        <v>0.9999999759612962</v>
      </c>
      <c r="F233" s="4">
        <f t="shared" si="19"/>
        <v>-1.043987654022723E-07</v>
      </c>
      <c r="G233" s="5">
        <f t="shared" si="22"/>
        <v>-66.37784361422644</v>
      </c>
      <c r="H233" s="4">
        <f t="shared" si="23"/>
        <v>1.0009601658651093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5">
        <v>41</v>
      </c>
      <c r="B234" s="5">
        <f t="shared" si="17"/>
        <v>8</v>
      </c>
      <c r="C234" s="5">
        <f t="shared" si="20"/>
        <v>1.2566370614359172</v>
      </c>
      <c r="D234" s="4">
        <f t="shared" si="18"/>
        <v>0.30901699437494745</v>
      </c>
      <c r="E234" s="5">
        <f t="shared" si="21"/>
        <v>0.999999994468947</v>
      </c>
      <c r="F234" s="4">
        <f t="shared" si="19"/>
        <v>-2.4021057815005026E-08</v>
      </c>
      <c r="G234" s="5">
        <f t="shared" si="22"/>
        <v>-66.37784361422644</v>
      </c>
      <c r="H234" s="4">
        <f t="shared" si="23"/>
        <v>1.0009601658651093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5">
        <v>42</v>
      </c>
      <c r="B235" s="5">
        <f t="shared" si="17"/>
        <v>8.200000000000001</v>
      </c>
      <c r="C235" s="5">
        <f t="shared" si="20"/>
        <v>1.2880529879718154</v>
      </c>
      <c r="D235" s="4">
        <f t="shared" si="18"/>
        <v>0.27899110603922905</v>
      </c>
      <c r="E235" s="5">
        <f t="shared" si="21"/>
        <v>0.9999999989222061</v>
      </c>
      <c r="F235" s="4">
        <f t="shared" si="19"/>
        <v>-4.680799237453729E-09</v>
      </c>
      <c r="G235" s="5">
        <f t="shared" si="22"/>
        <v>-66.37784361422644</v>
      </c>
      <c r="H235" s="4">
        <f t="shared" si="23"/>
        <v>1.0009601658651093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5">
        <v>43</v>
      </c>
      <c r="B236" s="5">
        <f t="shared" si="17"/>
        <v>8.4</v>
      </c>
      <c r="C236" s="5">
        <f t="shared" si="20"/>
        <v>1.3194689145077132</v>
      </c>
      <c r="D236" s="4">
        <f t="shared" si="18"/>
        <v>0.24868988716485474</v>
      </c>
      <c r="E236" s="5">
        <f t="shared" si="21"/>
        <v>0.9999999998287541</v>
      </c>
      <c r="F236" s="4">
        <f t="shared" si="19"/>
        <v>-7.437115218013044E-10</v>
      </c>
      <c r="G236" s="5">
        <f t="shared" si="22"/>
        <v>-66.37784361422644</v>
      </c>
      <c r="H236" s="4">
        <f t="shared" si="23"/>
        <v>1.0009601658651093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5">
        <v>44</v>
      </c>
      <c r="B237" s="5">
        <f t="shared" si="17"/>
        <v>8.6</v>
      </c>
      <c r="C237" s="5">
        <f t="shared" si="20"/>
        <v>1.350884841043611</v>
      </c>
      <c r="D237" s="4">
        <f t="shared" si="18"/>
        <v>0.2181432413965427</v>
      </c>
      <c r="E237" s="5">
        <f t="shared" si="21"/>
        <v>0.9999999999789642</v>
      </c>
      <c r="F237" s="4">
        <f t="shared" si="19"/>
        <v>-9.135749119981966E-11</v>
      </c>
      <c r="G237" s="5">
        <f t="shared" si="22"/>
        <v>-66.37784361422644</v>
      </c>
      <c r="H237" s="4">
        <f t="shared" si="23"/>
        <v>1.0009601658651093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5">
        <v>45</v>
      </c>
      <c r="B238" s="5">
        <f t="shared" si="17"/>
        <v>8.8</v>
      </c>
      <c r="C238" s="5">
        <f t="shared" si="20"/>
        <v>1.3823007675795091</v>
      </c>
      <c r="D238" s="4">
        <f t="shared" si="18"/>
        <v>0.18738131458572452</v>
      </c>
      <c r="E238" s="5">
        <f t="shared" si="21"/>
        <v>0.9999999999981519</v>
      </c>
      <c r="F238" s="4">
        <f t="shared" si="19"/>
        <v>-8.026097504130426E-12</v>
      </c>
      <c r="G238" s="5">
        <f t="shared" si="22"/>
        <v>-66.37784361422644</v>
      </c>
      <c r="H238" s="4">
        <f t="shared" si="23"/>
        <v>1.0009601658651093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5">
        <v>46</v>
      </c>
      <c r="B239" s="5">
        <f t="shared" si="17"/>
        <v>9</v>
      </c>
      <c r="C239" s="5">
        <f t="shared" si="20"/>
        <v>1.413716694115407</v>
      </c>
      <c r="D239" s="4">
        <f t="shared" si="18"/>
        <v>0.15643446504023092</v>
      </c>
      <c r="E239" s="5">
        <f t="shared" si="21"/>
        <v>0.9999999999998972</v>
      </c>
      <c r="F239" s="4">
        <f t="shared" si="19"/>
        <v>-4.464836170141949E-13</v>
      </c>
      <c r="G239" s="5">
        <f t="shared" si="22"/>
        <v>-66.37784361422644</v>
      </c>
      <c r="H239" s="4">
        <f t="shared" si="23"/>
        <v>1.0009601658651093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5">
        <v>47</v>
      </c>
      <c r="B240" s="5">
        <f t="shared" si="17"/>
        <v>9.200000000000001</v>
      </c>
      <c r="C240" s="5">
        <f t="shared" si="20"/>
        <v>1.445132620651305</v>
      </c>
      <c r="D240" s="4">
        <f t="shared" si="18"/>
        <v>0.12533323356430404</v>
      </c>
      <c r="E240" s="5">
        <f t="shared" si="21"/>
        <v>0.9999999999999971</v>
      </c>
      <c r="F240" s="4">
        <f t="shared" si="19"/>
        <v>-1.253625706519275E-14</v>
      </c>
      <c r="G240" s="5">
        <f t="shared" si="22"/>
        <v>-66.37784361422644</v>
      </c>
      <c r="H240" s="4">
        <f t="shared" si="23"/>
        <v>1.0009601658651093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5">
        <v>48</v>
      </c>
      <c r="B241" s="5">
        <f t="shared" si="17"/>
        <v>9.4</v>
      </c>
      <c r="C241" s="5">
        <f t="shared" si="20"/>
        <v>1.4765485471872029</v>
      </c>
      <c r="D241" s="4">
        <f t="shared" si="18"/>
        <v>0.09410831331851428</v>
      </c>
      <c r="E241" s="5">
        <f t="shared" si="21"/>
        <v>1</v>
      </c>
      <c r="F241" s="4">
        <f t="shared" si="19"/>
        <v>0</v>
      </c>
      <c r="G241" s="5">
        <f t="shared" si="22"/>
        <v>-66.37784361422644</v>
      </c>
      <c r="H241" s="4">
        <f t="shared" si="23"/>
        <v>1.0009601658651093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5">
        <v>49</v>
      </c>
      <c r="B242" s="5">
        <f t="shared" si="17"/>
        <v>9.600000000000001</v>
      </c>
      <c r="C242" s="5">
        <f t="shared" si="20"/>
        <v>1.5079644737231008</v>
      </c>
      <c r="D242" s="4">
        <f t="shared" si="18"/>
        <v>0.0627905195293133</v>
      </c>
      <c r="E242" s="5">
        <f t="shared" si="21"/>
        <v>1</v>
      </c>
      <c r="F242" s="4">
        <f t="shared" si="19"/>
        <v>0</v>
      </c>
      <c r="G242" s="5">
        <f t="shared" si="22"/>
        <v>-66.37784361422644</v>
      </c>
      <c r="H242" s="4">
        <f t="shared" si="23"/>
        <v>1.0009601658651093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5">
        <v>50</v>
      </c>
      <c r="B243" s="5">
        <f t="shared" si="17"/>
        <v>9.8</v>
      </c>
      <c r="C243" s="5">
        <f t="shared" si="20"/>
        <v>1.5393804002589988</v>
      </c>
      <c r="D243" s="4">
        <f t="shared" si="18"/>
        <v>0.031410759078128174</v>
      </c>
      <c r="E243" s="5">
        <f t="shared" si="21"/>
        <v>1</v>
      </c>
      <c r="F243" s="4">
        <f t="shared" si="19"/>
        <v>0</v>
      </c>
      <c r="G243" s="5">
        <f t="shared" si="22"/>
        <v>-66.37784361422644</v>
      </c>
      <c r="H243" s="4">
        <f t="shared" si="23"/>
        <v>1.0009601658651093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5">
        <v>51</v>
      </c>
      <c r="B244" s="5">
        <f t="shared" si="17"/>
        <v>10</v>
      </c>
      <c r="C244" s="5">
        <f t="shared" si="20"/>
        <v>1.5707963267948966</v>
      </c>
      <c r="D244" s="4">
        <f t="shared" si="18"/>
        <v>6.1257422745431E-17</v>
      </c>
      <c r="E244" s="5">
        <f t="shared" si="21"/>
        <v>1</v>
      </c>
      <c r="F244" s="4">
        <f t="shared" si="19"/>
        <v>0</v>
      </c>
      <c r="G244" s="5">
        <f t="shared" si="22"/>
        <v>-66.37784361422644</v>
      </c>
      <c r="H244" s="4">
        <f t="shared" si="23"/>
        <v>1.0009601658651093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5">
        <v>52</v>
      </c>
      <c r="B245" s="5">
        <f t="shared" si="17"/>
        <v>10.200000000000001</v>
      </c>
      <c r="C245" s="5">
        <f t="shared" si="20"/>
        <v>1.6022122533307948</v>
      </c>
      <c r="D245" s="4">
        <f t="shared" si="18"/>
        <v>-0.0314107590781285</v>
      </c>
      <c r="E245" s="5">
        <f t="shared" si="21"/>
        <v>1</v>
      </c>
      <c r="F245" s="4">
        <f t="shared" si="19"/>
        <v>0</v>
      </c>
      <c r="G245" s="5">
        <f t="shared" si="22"/>
        <v>-66.37784361422644</v>
      </c>
      <c r="H245" s="4">
        <f t="shared" si="23"/>
        <v>1.0009601658651093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5">
        <v>53</v>
      </c>
      <c r="B246" s="5">
        <f t="shared" si="17"/>
        <v>10.4</v>
      </c>
      <c r="C246" s="5">
        <f t="shared" si="20"/>
        <v>1.6336281798666925</v>
      </c>
      <c r="D246" s="4">
        <f t="shared" si="18"/>
        <v>-0.0627905195293134</v>
      </c>
      <c r="E246" s="5">
        <f t="shared" si="21"/>
        <v>1</v>
      </c>
      <c r="F246" s="4">
        <f t="shared" si="19"/>
        <v>0</v>
      </c>
      <c r="G246" s="5">
        <f t="shared" si="22"/>
        <v>-66.37784361422644</v>
      </c>
      <c r="H246" s="4">
        <f t="shared" si="23"/>
        <v>1.0009601658651093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5">
        <v>54</v>
      </c>
      <c r="B247" s="5">
        <f t="shared" si="17"/>
        <v>10.600000000000001</v>
      </c>
      <c r="C247" s="5">
        <f t="shared" si="20"/>
        <v>1.6650441064025905</v>
      </c>
      <c r="D247" s="4">
        <f t="shared" si="18"/>
        <v>-0.09410831331851438</v>
      </c>
      <c r="E247" s="5">
        <f t="shared" si="21"/>
        <v>1</v>
      </c>
      <c r="F247" s="4">
        <f t="shared" si="19"/>
        <v>0</v>
      </c>
      <c r="G247" s="5">
        <f t="shared" si="22"/>
        <v>-66.37784361422644</v>
      </c>
      <c r="H247" s="4">
        <f t="shared" si="23"/>
        <v>1.0009601658651093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5">
        <v>55</v>
      </c>
      <c r="B248" s="5">
        <f t="shared" si="17"/>
        <v>10.8</v>
      </c>
      <c r="C248" s="5">
        <f t="shared" si="20"/>
        <v>1.6964600329384882</v>
      </c>
      <c r="D248" s="4">
        <f t="shared" si="18"/>
        <v>-0.12533323356430415</v>
      </c>
      <c r="E248" s="5">
        <f t="shared" si="21"/>
        <v>0.9999999999999971</v>
      </c>
      <c r="F248" s="4">
        <f t="shared" si="19"/>
        <v>-1.253625706519275E-14</v>
      </c>
      <c r="G248" s="5">
        <f t="shared" si="22"/>
        <v>-66.37784361422644</v>
      </c>
      <c r="H248" s="4">
        <f t="shared" si="23"/>
        <v>1.0009601658651093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5">
        <v>56</v>
      </c>
      <c r="B249" s="5">
        <f t="shared" si="17"/>
        <v>11</v>
      </c>
      <c r="C249" s="5">
        <f t="shared" si="20"/>
        <v>1.727875959474386</v>
      </c>
      <c r="D249" s="4">
        <f t="shared" si="18"/>
        <v>-0.1564344650402306</v>
      </c>
      <c r="E249" s="5">
        <f t="shared" si="21"/>
        <v>0.9999999999998972</v>
      </c>
      <c r="F249" s="4">
        <f t="shared" si="19"/>
        <v>-4.464836170141949E-13</v>
      </c>
      <c r="G249" s="5">
        <f t="shared" si="22"/>
        <v>-66.37784361422644</v>
      </c>
      <c r="H249" s="4">
        <f t="shared" si="23"/>
        <v>1.0009601658651093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5">
        <v>57</v>
      </c>
      <c r="B250" s="5">
        <f t="shared" si="17"/>
        <v>11.200000000000001</v>
      </c>
      <c r="C250" s="5">
        <f t="shared" si="20"/>
        <v>1.7592918860102842</v>
      </c>
      <c r="D250" s="4">
        <f t="shared" si="18"/>
        <v>-0.1873813145857246</v>
      </c>
      <c r="E250" s="5">
        <f t="shared" si="21"/>
        <v>0.9999999999981519</v>
      </c>
      <c r="F250" s="4">
        <f t="shared" si="19"/>
        <v>-8.026097504130426E-12</v>
      </c>
      <c r="G250" s="5">
        <f t="shared" si="22"/>
        <v>-66.37784361422644</v>
      </c>
      <c r="H250" s="4">
        <f t="shared" si="23"/>
        <v>1.0009601658651093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5">
        <v>58</v>
      </c>
      <c r="B251" s="5">
        <f t="shared" si="17"/>
        <v>11.4</v>
      </c>
      <c r="C251" s="5">
        <f t="shared" si="20"/>
        <v>1.7907078125461822</v>
      </c>
      <c r="D251" s="4">
        <f t="shared" si="18"/>
        <v>-0.21814324139654256</v>
      </c>
      <c r="E251" s="5">
        <f t="shared" si="21"/>
        <v>0.9999999999789642</v>
      </c>
      <c r="F251" s="4">
        <f t="shared" si="19"/>
        <v>-9.135749119981966E-11</v>
      </c>
      <c r="G251" s="5">
        <f t="shared" si="22"/>
        <v>-66.37784361422644</v>
      </c>
      <c r="H251" s="4">
        <f t="shared" si="23"/>
        <v>1.0009601658651093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5">
        <v>59</v>
      </c>
      <c r="B252" s="5">
        <f t="shared" si="17"/>
        <v>11.600000000000001</v>
      </c>
      <c r="C252" s="5">
        <f t="shared" si="20"/>
        <v>1.8221237390820804</v>
      </c>
      <c r="D252" s="4">
        <f t="shared" si="18"/>
        <v>-0.24868988716485507</v>
      </c>
      <c r="E252" s="5">
        <f t="shared" si="21"/>
        <v>0.9999999998287541</v>
      </c>
      <c r="F252" s="4">
        <f t="shared" si="19"/>
        <v>-7.437115218013044E-10</v>
      </c>
      <c r="G252" s="5">
        <f t="shared" si="22"/>
        <v>-66.37784361422644</v>
      </c>
      <c r="H252" s="4">
        <f t="shared" si="23"/>
        <v>1.0009601658651093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5">
        <v>60</v>
      </c>
      <c r="B253" s="5">
        <f t="shared" si="17"/>
        <v>11.8</v>
      </c>
      <c r="C253" s="5">
        <f t="shared" si="20"/>
        <v>1.8535396656179781</v>
      </c>
      <c r="D253" s="4">
        <f t="shared" si="18"/>
        <v>-0.27899110603922933</v>
      </c>
      <c r="E253" s="5">
        <f t="shared" si="21"/>
        <v>0.9999999989222061</v>
      </c>
      <c r="F253" s="4">
        <f t="shared" si="19"/>
        <v>-4.680799237453729E-09</v>
      </c>
      <c r="G253" s="5">
        <f t="shared" si="22"/>
        <v>-66.37784361422644</v>
      </c>
      <c r="H253" s="4">
        <f t="shared" si="23"/>
        <v>1.0009601658651093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5">
        <v>61</v>
      </c>
      <c r="B254" s="5">
        <f t="shared" si="17"/>
        <v>12</v>
      </c>
      <c r="C254" s="5">
        <f t="shared" si="20"/>
        <v>1.8849555921538759</v>
      </c>
      <c r="D254" s="4">
        <f t="shared" si="18"/>
        <v>-0.30901699437494734</v>
      </c>
      <c r="E254" s="5">
        <f t="shared" si="21"/>
        <v>0.999999994468947</v>
      </c>
      <c r="F254" s="4">
        <f t="shared" si="19"/>
        <v>-2.4021057815005026E-08</v>
      </c>
      <c r="G254" s="5">
        <f t="shared" si="22"/>
        <v>-66.37784361422644</v>
      </c>
      <c r="H254" s="4">
        <f t="shared" si="23"/>
        <v>1.0009601658651093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5">
        <v>62</v>
      </c>
      <c r="B255" s="5">
        <f t="shared" si="17"/>
        <v>12.200000000000001</v>
      </c>
      <c r="C255" s="5">
        <f t="shared" si="20"/>
        <v>1.916371518689774</v>
      </c>
      <c r="D255" s="4">
        <f t="shared" si="18"/>
        <v>-0.33873792024529153</v>
      </c>
      <c r="E255" s="5">
        <f t="shared" si="21"/>
        <v>0.9999999759612962</v>
      </c>
      <c r="F255" s="4">
        <f t="shared" si="19"/>
        <v>-1.043987654022723E-07</v>
      </c>
      <c r="G255" s="5">
        <f t="shared" si="22"/>
        <v>-66.37784361422644</v>
      </c>
      <c r="H255" s="4">
        <f t="shared" si="23"/>
        <v>1.0009601658651093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5">
        <v>63</v>
      </c>
      <c r="B256" s="5">
        <f t="shared" si="17"/>
        <v>12.4</v>
      </c>
      <c r="C256" s="5">
        <f t="shared" si="20"/>
        <v>1.9477874452256718</v>
      </c>
      <c r="D256" s="4">
        <f t="shared" si="18"/>
        <v>-0.368124552684678</v>
      </c>
      <c r="E256" s="5">
        <f t="shared" si="21"/>
        <v>0.9999999090073114</v>
      </c>
      <c r="F256" s="4">
        <f t="shared" si="19"/>
        <v>-3.951762435308998E-07</v>
      </c>
      <c r="G256" s="5">
        <f t="shared" si="22"/>
        <v>-66.37784361422644</v>
      </c>
      <c r="H256" s="4">
        <f t="shared" si="23"/>
        <v>1.0009601658651093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5">
        <v>64</v>
      </c>
      <c r="B257" s="5">
        <f t="shared" si="17"/>
        <v>12.600000000000001</v>
      </c>
      <c r="C257" s="5">
        <f t="shared" si="20"/>
        <v>1.9792033717615698</v>
      </c>
      <c r="D257" s="4">
        <f t="shared" si="18"/>
        <v>-0.3971478906347807</v>
      </c>
      <c r="E257" s="5">
        <f t="shared" si="21"/>
        <v>0.9999996935737139</v>
      </c>
      <c r="F257" s="4">
        <f t="shared" si="19"/>
        <v>-1.3307926556281295E-06</v>
      </c>
      <c r="G257" s="5">
        <f t="shared" si="22"/>
        <v>-65.1367398241899</v>
      </c>
      <c r="H257" s="4">
        <f t="shared" si="23"/>
        <v>1.0011077288790504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5">
        <v>65</v>
      </c>
      <c r="B258" s="5">
        <f t="shared" si="17"/>
        <v>12.8</v>
      </c>
      <c r="C258" s="5">
        <f aca="true" t="shared" si="24" ref="C258:C289">PI()/2*B258/$G$6</f>
        <v>2.0106192982974678</v>
      </c>
      <c r="D258" s="4">
        <f t="shared" si="18"/>
        <v>-0.4257792915650727</v>
      </c>
      <c r="E258" s="5">
        <f aca="true" t="shared" si="25" ref="E258:E294">1/(($G$5-1)^2/(4*$G$5)*$D258^(2*$B$7)+1)</f>
        <v>0.9999990666551355</v>
      </c>
      <c r="F258" s="4">
        <f t="shared" si="19"/>
        <v>-4.0534671353211205E-06</v>
      </c>
      <c r="G258" s="5">
        <f aca="true" t="shared" si="26" ref="G258:G294">10*LOG10(1-10^(0.1*MIN(-0.000001,$F258)))</f>
        <v>-60.29957857776756</v>
      </c>
      <c r="H258" s="4">
        <f aca="true" t="shared" si="27" ref="H258:H294">(1+10^(0.05*$G258))/(1-10^(0.05*$G258))</f>
        <v>1.0019340639968977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5">
        <v>66</v>
      </c>
      <c r="B259" s="5">
        <f aca="true" t="shared" si="28" ref="B259:B294">$B$10+0.01*($B$11-$B$10)*(A259-1)</f>
        <v>13</v>
      </c>
      <c r="C259" s="5">
        <f t="shared" si="24"/>
        <v>2.0420352248333655</v>
      </c>
      <c r="D259" s="4">
        <f aca="true" t="shared" si="29" ref="D259:D294">COS(C259)</f>
        <v>-0.4539904997395467</v>
      </c>
      <c r="E259" s="5">
        <f t="shared" si="25"/>
        <v>0.9999973948238525</v>
      </c>
      <c r="F259" s="4">
        <f aca="true" t="shared" si="30" ref="F259:F294">10*LOG10(E259)</f>
        <v>-1.131415099002538E-05</v>
      </c>
      <c r="G259" s="5">
        <f t="shared" si="26"/>
        <v>-55.841629068021504</v>
      </c>
      <c r="H259" s="4">
        <f t="shared" si="27"/>
        <v>1.0032333303892962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5">
        <v>67</v>
      </c>
      <c r="B260" s="5">
        <f t="shared" si="28"/>
        <v>13.200000000000001</v>
      </c>
      <c r="C260" s="5">
        <f t="shared" si="24"/>
        <v>2.0734511513692633</v>
      </c>
      <c r="D260" s="4">
        <f t="shared" si="29"/>
        <v>-0.48175367410171505</v>
      </c>
      <c r="E260" s="5">
        <f t="shared" si="25"/>
        <v>0.9999932657748828</v>
      </c>
      <c r="F260" s="4">
        <f t="shared" si="30"/>
        <v>-2.9246466559245062E-05</v>
      </c>
      <c r="G260" s="5">
        <f t="shared" si="26"/>
        <v>-51.71712369752455</v>
      </c>
      <c r="H260" s="4">
        <f t="shared" si="27"/>
        <v>1.0052035806082036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5">
        <v>68</v>
      </c>
      <c r="B261" s="5">
        <f t="shared" si="28"/>
        <v>13.4</v>
      </c>
      <c r="C261" s="5">
        <f t="shared" si="24"/>
        <v>2.1048670779051615</v>
      </c>
      <c r="D261" s="4">
        <f t="shared" si="29"/>
        <v>-0.5090414157503713</v>
      </c>
      <c r="E261" s="5">
        <f t="shared" si="25"/>
        <v>0.999983739540479</v>
      </c>
      <c r="F261" s="4">
        <f t="shared" si="30"/>
        <v>-7.061885258072449E-05</v>
      </c>
      <c r="G261" s="5">
        <f t="shared" si="26"/>
        <v>-47.88867185396295</v>
      </c>
      <c r="H261" s="4">
        <f t="shared" si="27"/>
        <v>1.0080975046069087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5">
        <v>69</v>
      </c>
      <c r="B262" s="5">
        <f t="shared" si="28"/>
        <v>13.600000000000001</v>
      </c>
      <c r="C262" s="5">
        <f t="shared" si="24"/>
        <v>2.1362830044410597</v>
      </c>
      <c r="D262" s="4">
        <f t="shared" si="29"/>
        <v>-0.5358267949789969</v>
      </c>
      <c r="E262" s="5">
        <f t="shared" si="25"/>
        <v>0.9999630627307751</v>
      </c>
      <c r="F262" s="4">
        <f t="shared" si="30"/>
        <v>-0.00016041948475672803</v>
      </c>
      <c r="G262" s="5">
        <f t="shared" si="26"/>
        <v>-44.32535215132381</v>
      </c>
      <c r="H262" s="4">
        <f t="shared" si="27"/>
        <v>1.0122295340738554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5">
        <v>70</v>
      </c>
      <c r="B263" s="5">
        <f t="shared" si="28"/>
        <v>13.8</v>
      </c>
      <c r="C263" s="5">
        <f t="shared" si="24"/>
        <v>2.1676989309769574</v>
      </c>
      <c r="D263" s="4">
        <f t="shared" si="29"/>
        <v>-0.5620833778521307</v>
      </c>
      <c r="E263" s="5">
        <f t="shared" si="25"/>
        <v>0.9999205914297469</v>
      </c>
      <c r="F263" s="4">
        <f t="shared" si="30"/>
        <v>-0.00034488073219175085</v>
      </c>
      <c r="G263" s="5">
        <f t="shared" si="26"/>
        <v>-41.00132623356498</v>
      </c>
      <c r="H263" s="4">
        <f t="shared" si="27"/>
        <v>1.017982542407448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5">
        <v>71</v>
      </c>
      <c r="B264" s="5">
        <f t="shared" si="28"/>
        <v>14</v>
      </c>
      <c r="C264" s="5">
        <f t="shared" si="24"/>
        <v>2.199114857512855</v>
      </c>
      <c r="D264" s="4">
        <f t="shared" si="29"/>
        <v>-0.587785252292473</v>
      </c>
      <c r="E264" s="5">
        <f t="shared" si="25"/>
        <v>0.9998376252753796</v>
      </c>
      <c r="F264" s="4">
        <f t="shared" si="30"/>
        <v>-0.0007052417272974347</v>
      </c>
      <c r="G264" s="5">
        <f t="shared" si="26"/>
        <v>-37.89481572460408</v>
      </c>
      <c r="H264" s="4">
        <f t="shared" si="27"/>
        <v>1.025814209288242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5">
        <v>72</v>
      </c>
      <c r="B265" s="5">
        <f t="shared" si="28"/>
        <v>14.200000000000001</v>
      </c>
      <c r="C265" s="5">
        <f t="shared" si="24"/>
        <v>2.2305307840487534</v>
      </c>
      <c r="D265" s="4">
        <f t="shared" si="29"/>
        <v>-0.6129070536529766</v>
      </c>
      <c r="E265" s="5">
        <f t="shared" si="25"/>
        <v>0.9996828489601406</v>
      </c>
      <c r="F265" s="4">
        <f t="shared" si="30"/>
        <v>-0.0013775879286790987</v>
      </c>
      <c r="G265" s="5">
        <f t="shared" si="26"/>
        <v>-34.987338603205515</v>
      </c>
      <c r="H265" s="4">
        <f t="shared" si="27"/>
        <v>1.0362632728773633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5">
        <v>73</v>
      </c>
      <c r="B266" s="5">
        <f t="shared" si="28"/>
        <v>14.4</v>
      </c>
      <c r="C266" s="5">
        <f t="shared" si="24"/>
        <v>2.261946710584651</v>
      </c>
      <c r="D266" s="4">
        <f t="shared" si="29"/>
        <v>-0.6374239897486897</v>
      </c>
      <c r="E266" s="5">
        <f t="shared" si="25"/>
        <v>0.9994061367263839</v>
      </c>
      <c r="F266" s="4">
        <f t="shared" si="30"/>
        <v>-0.002579881551660509</v>
      </c>
      <c r="G266" s="5">
        <f t="shared" si="26"/>
        <v>-32.26313532037439</v>
      </c>
      <c r="H266" s="4">
        <f t="shared" si="27"/>
        <v>1.049956013742562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5">
        <v>74</v>
      </c>
      <c r="B267" s="5">
        <f t="shared" si="28"/>
        <v>14.600000000000001</v>
      </c>
      <c r="C267" s="5">
        <f t="shared" si="24"/>
        <v>2.2933626371205493</v>
      </c>
      <c r="D267" s="4">
        <f t="shared" si="29"/>
        <v>-0.661311865323652</v>
      </c>
      <c r="E267" s="5">
        <f t="shared" si="25"/>
        <v>0.998930634034886</v>
      </c>
      <c r="F267" s="4">
        <f t="shared" si="30"/>
        <v>-0.004646682322848728</v>
      </c>
      <c r="G267" s="5">
        <f t="shared" si="26"/>
        <v>-29.708736423774496</v>
      </c>
      <c r="H267" s="4">
        <f t="shared" si="27"/>
        <v>1.0676133584054062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5">
        <v>75</v>
      </c>
      <c r="B268" s="5">
        <f t="shared" si="28"/>
        <v>14.8</v>
      </c>
      <c r="C268" s="5">
        <f t="shared" si="24"/>
        <v>2.324778563656447</v>
      </c>
      <c r="D268" s="4">
        <f t="shared" si="29"/>
        <v>-0.6845471059286887</v>
      </c>
      <c r="E268" s="5">
        <f t="shared" si="25"/>
        <v>0.9981433231920733</v>
      </c>
      <c r="F268" s="4">
        <f t="shared" si="30"/>
        <v>-0.008070939807682226</v>
      </c>
      <c r="G268" s="5">
        <f t="shared" si="26"/>
        <v>-27.312636874016437</v>
      </c>
      <c r="H268" s="4">
        <f t="shared" si="27"/>
        <v>1.0900589093960915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5">
        <v>76</v>
      </c>
      <c r="B269" s="5">
        <f t="shared" si="28"/>
        <v>15</v>
      </c>
      <c r="C269" s="5">
        <f t="shared" si="24"/>
        <v>2.356194490192345</v>
      </c>
      <c r="D269" s="4">
        <f t="shared" si="29"/>
        <v>-0.7071067811865475</v>
      </c>
      <c r="E269" s="5">
        <f t="shared" si="25"/>
        <v>0.9968847352024922</v>
      </c>
      <c r="F269" s="4">
        <f t="shared" si="30"/>
        <v>-0.013550540849661022</v>
      </c>
      <c r="G269" s="5">
        <f t="shared" si="26"/>
        <v>-25.06505032404872</v>
      </c>
      <c r="H269" s="4">
        <f t="shared" si="27"/>
        <v>1.1182279554198056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5">
        <v>77</v>
      </c>
      <c r="B270" s="5">
        <f t="shared" si="28"/>
        <v>15.200000000000001</v>
      </c>
      <c r="C270" s="5">
        <f t="shared" si="24"/>
        <v>2.3876104167282426</v>
      </c>
      <c r="D270" s="4">
        <f t="shared" si="29"/>
        <v>-0.7289686274214113</v>
      </c>
      <c r="E270" s="5">
        <f t="shared" si="25"/>
        <v>0.9949390984035248</v>
      </c>
      <c r="F270" s="4">
        <f t="shared" si="30"/>
        <v>-0.022035022058008096</v>
      </c>
      <c r="G270" s="5">
        <f t="shared" si="26"/>
        <v>-22.957721069756012</v>
      </c>
      <c r="H270" s="4">
        <f t="shared" si="27"/>
        <v>1.153177045209624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5">
        <v>78</v>
      </c>
      <c r="B271" s="5">
        <f t="shared" si="28"/>
        <v>15.4</v>
      </c>
      <c r="C271" s="5">
        <f t="shared" si="24"/>
        <v>2.419026343264141</v>
      </c>
      <c r="D271" s="4">
        <f t="shared" si="29"/>
        <v>-0.7501110696304596</v>
      </c>
      <c r="E271" s="5">
        <f t="shared" si="25"/>
        <v>0.9920269834644584</v>
      </c>
      <c r="F271" s="4">
        <f t="shared" si="30"/>
        <v>-0.03476514730561016</v>
      </c>
      <c r="G271" s="5">
        <f t="shared" si="26"/>
        <v>-20.983773352058993</v>
      </c>
      <c r="H271" s="4">
        <f t="shared" si="27"/>
        <v>1.196092984756882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5">
        <v>79</v>
      </c>
      <c r="B272" s="5">
        <f t="shared" si="28"/>
        <v>15.600000000000001</v>
      </c>
      <c r="C272" s="5">
        <f t="shared" si="24"/>
        <v>2.450442269800039</v>
      </c>
      <c r="D272" s="4">
        <f t="shared" si="29"/>
        <v>-0.7705132427757894</v>
      </c>
      <c r="E272" s="5">
        <f t="shared" si="25"/>
        <v>0.9878033045748923</v>
      </c>
      <c r="F272" s="4">
        <f t="shared" si="30"/>
        <v>-0.0532952529307741</v>
      </c>
      <c r="G272" s="5">
        <f t="shared" si="26"/>
        <v>-19.137578212141268</v>
      </c>
      <c r="H272" s="4">
        <f t="shared" si="27"/>
        <v>1.2482991196895767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5">
        <v>80</v>
      </c>
      <c r="B273" s="5">
        <f t="shared" si="28"/>
        <v>15.8</v>
      </c>
      <c r="C273" s="5">
        <f t="shared" si="24"/>
        <v>2.4818581963359367</v>
      </c>
      <c r="D273" s="4">
        <f t="shared" si="29"/>
        <v>-0.7901550123756904</v>
      </c>
      <c r="E273" s="5">
        <f t="shared" si="25"/>
        <v>0.981864139104581</v>
      </c>
      <c r="F273" s="4">
        <f t="shared" si="30"/>
        <v>-0.07948601540113377</v>
      </c>
      <c r="G273" s="5">
        <f t="shared" si="26"/>
        <v>-17.41461823967977</v>
      </c>
      <c r="H273" s="4">
        <f t="shared" si="27"/>
        <v>1.3112555093931677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5">
        <v>81</v>
      </c>
      <c r="B274" s="5">
        <f t="shared" si="28"/>
        <v>16</v>
      </c>
      <c r="C274" s="5">
        <f t="shared" si="24"/>
        <v>2.5132741228718345</v>
      </c>
      <c r="D274" s="4">
        <f t="shared" si="29"/>
        <v>-0.8090169943749473</v>
      </c>
      <c r="E274" s="5">
        <f t="shared" si="25"/>
        <v>0.9737658592510973</v>
      </c>
      <c r="F274" s="4">
        <f t="shared" si="30"/>
        <v>-0.11545456118710601</v>
      </c>
      <c r="G274" s="5">
        <f t="shared" si="26"/>
        <v>-15.811331557508057</v>
      </c>
      <c r="H274" s="4">
        <f t="shared" si="27"/>
        <v>1.3865481754470914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5">
        <v>82</v>
      </c>
      <c r="B275" s="5">
        <f t="shared" si="28"/>
        <v>16.2</v>
      </c>
      <c r="C275" s="5">
        <f t="shared" si="24"/>
        <v>2.5446900494077322</v>
      </c>
      <c r="D275" s="4">
        <f t="shared" si="29"/>
        <v>-0.8270805742745617</v>
      </c>
      <c r="E275" s="5">
        <f t="shared" si="25"/>
        <v>0.9630590521410061</v>
      </c>
      <c r="F275" s="4">
        <f t="shared" si="30"/>
        <v>-0.16347082311918604</v>
      </c>
      <c r="G275" s="5">
        <f t="shared" si="26"/>
        <v>-14.324919652940062</v>
      </c>
      <c r="H275" s="4">
        <f t="shared" si="27"/>
        <v>1.4758612214690117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5">
        <v>83</v>
      </c>
      <c r="B276" s="5">
        <f t="shared" si="28"/>
        <v>16.400000000000002</v>
      </c>
      <c r="C276" s="5">
        <f t="shared" si="24"/>
        <v>2.576105975943631</v>
      </c>
      <c r="D276" s="4">
        <f t="shared" si="29"/>
        <v>-0.8443279255020153</v>
      </c>
      <c r="E276" s="5">
        <f t="shared" si="25"/>
        <v>0.949337227331221</v>
      </c>
      <c r="F276" s="4">
        <f t="shared" si="30"/>
        <v>-0.2257948835913431</v>
      </c>
      <c r="G276" s="5">
        <f t="shared" si="26"/>
        <v>-12.953110458561728</v>
      </c>
      <c r="H276" s="4">
        <f t="shared" si="27"/>
        <v>1.58092464583195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5">
        <v>84</v>
      </c>
      <c r="B277" s="5">
        <f t="shared" si="28"/>
        <v>16.6</v>
      </c>
      <c r="C277" s="5">
        <f t="shared" si="24"/>
        <v>2.6075219024795286</v>
      </c>
      <c r="D277" s="4">
        <f t="shared" si="29"/>
        <v>-0.8607420270039438</v>
      </c>
      <c r="E277" s="5">
        <f t="shared" si="25"/>
        <v>0.9322963463595385</v>
      </c>
      <c r="F277" s="4">
        <f t="shared" si="30"/>
        <v>-0.304460177624242</v>
      </c>
      <c r="G277" s="5">
        <f t="shared" si="26"/>
        <v>-11.693878938986707</v>
      </c>
      <c r="H277" s="4">
        <f t="shared" si="27"/>
        <v>1.7034306473296696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5">
        <v>85</v>
      </c>
      <c r="B278" s="5">
        <f t="shared" si="28"/>
        <v>16.8</v>
      </c>
      <c r="C278" s="5">
        <f t="shared" si="24"/>
        <v>2.6389378290154264</v>
      </c>
      <c r="D278" s="4">
        <f t="shared" si="29"/>
        <v>-0.8763066800438636</v>
      </c>
      <c r="E278" s="5">
        <f t="shared" si="25"/>
        <v>0.9117964914666452</v>
      </c>
      <c r="F278" s="4">
        <f t="shared" si="30"/>
        <v>-0.4010208326764628</v>
      </c>
      <c r="G278" s="5">
        <f t="shared" si="26"/>
        <v>-10.545141392857564</v>
      </c>
      <c r="H278" s="4">
        <f t="shared" si="27"/>
        <v>1.8449128003915196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5">
        <v>86</v>
      </c>
      <c r="B279" s="5">
        <f t="shared" si="28"/>
        <v>17</v>
      </c>
      <c r="C279" s="5">
        <f t="shared" si="24"/>
        <v>2.670353755551324</v>
      </c>
      <c r="D279" s="4">
        <f t="shared" si="29"/>
        <v>-0.8910065241883678</v>
      </c>
      <c r="E279" s="5">
        <f t="shared" si="25"/>
        <v>0.887913160136199</v>
      </c>
      <c r="F279" s="4">
        <f t="shared" si="30"/>
        <v>-0.5162950710186929</v>
      </c>
      <c r="G279" s="5">
        <f t="shared" si="26"/>
        <v>-9.504453750057474</v>
      </c>
      <c r="H279" s="4">
        <f t="shared" si="27"/>
        <v>2.0065862006857844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5">
        <v>87</v>
      </c>
      <c r="B280" s="5">
        <f t="shared" si="28"/>
        <v>17.2</v>
      </c>
      <c r="C280" s="5">
        <f t="shared" si="24"/>
        <v>2.701769682087222</v>
      </c>
      <c r="D280" s="4">
        <f t="shared" si="29"/>
        <v>-0.9048270524660194</v>
      </c>
      <c r="E280" s="5">
        <f t="shared" si="25"/>
        <v>0.8609648432816813</v>
      </c>
      <c r="F280" s="4">
        <f t="shared" si="30"/>
        <v>-0.6501458220546066</v>
      </c>
      <c r="G280" s="5">
        <f t="shared" si="26"/>
        <v>-8.568753692551914</v>
      </c>
      <c r="H280" s="4">
        <f t="shared" si="27"/>
        <v>2.1891527144448597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5">
        <v>88</v>
      </c>
      <c r="B281" s="5">
        <f t="shared" si="28"/>
        <v>17.400000000000002</v>
      </c>
      <c r="C281" s="5">
        <f t="shared" si="24"/>
        <v>2.73318560862312</v>
      </c>
      <c r="D281" s="4">
        <f t="shared" si="29"/>
        <v>-0.9177546256839811</v>
      </c>
      <c r="E281" s="5">
        <f t="shared" si="25"/>
        <v>0.8315072104459933</v>
      </c>
      <c r="F281" s="4">
        <f t="shared" si="30"/>
        <v>-0.8013398042722848</v>
      </c>
      <c r="G281" s="5">
        <f t="shared" si="26"/>
        <v>-7.734186795042714</v>
      </c>
      <c r="H281" s="4">
        <f t="shared" si="27"/>
        <v>2.3925832859619476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5">
        <v>89</v>
      </c>
      <c r="B282" s="5">
        <f t="shared" si="28"/>
        <v>17.6</v>
      </c>
      <c r="C282" s="5">
        <f t="shared" si="24"/>
        <v>2.7646015351590183</v>
      </c>
      <c r="D282" s="4">
        <f t="shared" si="29"/>
        <v>-0.9297764858882515</v>
      </c>
      <c r="E282" s="5">
        <f t="shared" si="25"/>
        <v>0.8002920226239069</v>
      </c>
      <c r="F282" s="4">
        <f t="shared" si="30"/>
        <v>-0.9675151216724933</v>
      </c>
      <c r="G282" s="5">
        <f t="shared" si="26"/>
        <v>-6.996045868007011</v>
      </c>
      <c r="H282" s="4">
        <f t="shared" si="27"/>
        <v>2.6158975576726156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5">
        <v>90</v>
      </c>
      <c r="B283" s="5">
        <f t="shared" si="28"/>
        <v>17.8</v>
      </c>
      <c r="C283" s="5">
        <f t="shared" si="24"/>
        <v>2.796017461694916</v>
      </c>
      <c r="D283" s="4">
        <f t="shared" si="29"/>
        <v>-0.9408807689542255</v>
      </c>
      <c r="E283" s="5">
        <f t="shared" si="25"/>
        <v>0.768198225184319</v>
      </c>
      <c r="F283" s="4">
        <f t="shared" si="30"/>
        <v>-1.1452670054697784</v>
      </c>
      <c r="G283" s="5">
        <f t="shared" si="26"/>
        <v>-6.3488324313641815</v>
      </c>
      <c r="H283" s="4">
        <f t="shared" si="27"/>
        <v>2.8569679525212033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5">
        <v>91</v>
      </c>
      <c r="B284" s="5">
        <f t="shared" si="28"/>
        <v>18</v>
      </c>
      <c r="C284" s="5">
        <f t="shared" si="24"/>
        <v>2.827433388230814</v>
      </c>
      <c r="D284" s="4">
        <f t="shared" si="29"/>
        <v>-0.9510565162951535</v>
      </c>
      <c r="E284" s="5">
        <f t="shared" si="25"/>
        <v>0.7361498150123512</v>
      </c>
      <c r="F284" s="4">
        <f t="shared" si="30"/>
        <v>-1.3303379271127904</v>
      </c>
      <c r="G284" s="5">
        <f t="shared" si="26"/>
        <v>-5.786425969991299</v>
      </c>
      <c r="H284" s="4">
        <f t="shared" si="27"/>
        <v>3.112378928998601</v>
      </c>
      <c r="I284" s="3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5">
        <v>92</v>
      </c>
      <c r="B285" s="5">
        <f t="shared" si="28"/>
        <v>18.2</v>
      </c>
      <c r="C285" s="5">
        <f t="shared" si="24"/>
        <v>2.8588493147667116</v>
      </c>
      <c r="D285" s="4">
        <f t="shared" si="29"/>
        <v>-0.960293685676943</v>
      </c>
      <c r="E285" s="5">
        <f t="shared" si="25"/>
        <v>0.7050372270821859</v>
      </c>
      <c r="F285" s="4">
        <f t="shared" si="30"/>
        <v>-1.517879509667177</v>
      </c>
      <c r="G285" s="5">
        <f t="shared" si="26"/>
        <v>-5.302327926203937</v>
      </c>
      <c r="H285" s="4">
        <f t="shared" si="27"/>
        <v>3.3773709923318203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5">
        <v>93</v>
      </c>
      <c r="B286" s="5">
        <f t="shared" si="28"/>
        <v>18.400000000000002</v>
      </c>
      <c r="C286" s="5">
        <f t="shared" si="24"/>
        <v>2.89026524130261</v>
      </c>
      <c r="D286" s="4">
        <f t="shared" si="29"/>
        <v>-0.9685831611286312</v>
      </c>
      <c r="E286" s="5">
        <f t="shared" si="25"/>
        <v>0.6756558036794145</v>
      </c>
      <c r="F286" s="4">
        <f t="shared" si="30"/>
        <v>-1.702744884243038</v>
      </c>
      <c r="G286" s="5">
        <f t="shared" si="26"/>
        <v>-4.889938687480745</v>
      </c>
      <c r="H286" s="4">
        <f t="shared" si="27"/>
        <v>3.6458928811874443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5">
        <v>94</v>
      </c>
      <c r="B287" s="5">
        <f t="shared" si="28"/>
        <v>18.6</v>
      </c>
      <c r="C287" s="5">
        <f t="shared" si="24"/>
        <v>2.921681167838508</v>
      </c>
      <c r="D287" s="4">
        <f t="shared" si="29"/>
        <v>-0.9759167619387474</v>
      </c>
      <c r="E287" s="5">
        <f t="shared" si="25"/>
        <v>0.64866842497849</v>
      </c>
      <c r="F287" s="4">
        <f t="shared" si="30"/>
        <v>-1.8797724156622855</v>
      </c>
      <c r="G287" s="5">
        <f t="shared" si="26"/>
        <v>-4.542828173546143</v>
      </c>
      <c r="H287" s="4">
        <f t="shared" si="27"/>
        <v>3.910774857912799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5">
        <v>95</v>
      </c>
      <c r="B288" s="5">
        <f t="shared" si="28"/>
        <v>18.8</v>
      </c>
      <c r="C288" s="5">
        <f t="shared" si="24"/>
        <v>2.9530970943744057</v>
      </c>
      <c r="D288" s="4">
        <f t="shared" si="29"/>
        <v>-0.9822872507286887</v>
      </c>
      <c r="E288" s="5">
        <f t="shared" si="25"/>
        <v>0.6245925410397081</v>
      </c>
      <c r="F288" s="4">
        <f t="shared" si="30"/>
        <v>-2.0440320647251573</v>
      </c>
      <c r="G288" s="5">
        <f t="shared" si="26"/>
        <v>-4.254971026440446</v>
      </c>
      <c r="H288" s="4">
        <f t="shared" si="27"/>
        <v>4.164022713229649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5">
        <v>96</v>
      </c>
      <c r="B289" s="5">
        <f t="shared" si="28"/>
        <v>19</v>
      </c>
      <c r="C289" s="5">
        <f t="shared" si="24"/>
        <v>2.9845130209103035</v>
      </c>
      <c r="D289" s="4">
        <f t="shared" si="29"/>
        <v>-0.9876883405951377</v>
      </c>
      <c r="E289" s="5">
        <f t="shared" si="25"/>
        <v>0.6038069088452714</v>
      </c>
      <c r="F289" s="4">
        <f t="shared" si="30"/>
        <v>-2.191019220247268</v>
      </c>
      <c r="G289" s="5">
        <f t="shared" si="26"/>
        <v>-4.020931019916635</v>
      </c>
      <c r="H289" s="4">
        <f t="shared" si="27"/>
        <v>4.3972178434137605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5">
        <v>97</v>
      </c>
      <c r="B290" s="5">
        <f t="shared" si="28"/>
        <v>19.200000000000003</v>
      </c>
      <c r="C290" s="5">
        <f>PI()/2*B290/$G$6</f>
        <v>3.0159289474462017</v>
      </c>
      <c r="D290" s="4">
        <f t="shared" si="29"/>
        <v>-0.9921147013144779</v>
      </c>
      <c r="E290" s="5">
        <f t="shared" si="25"/>
        <v>0.5865711118179036</v>
      </c>
      <c r="F290" s="4">
        <f t="shared" si="30"/>
        <v>-2.316793295024349</v>
      </c>
      <c r="G290" s="5">
        <f t="shared" si="26"/>
        <v>-3.835991804911596</v>
      </c>
      <c r="H290" s="4">
        <f t="shared" si="27"/>
        <v>4.601995487531506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5">
        <v>98</v>
      </c>
      <c r="B291" s="5">
        <f t="shared" si="28"/>
        <v>19.400000000000002</v>
      </c>
      <c r="C291" s="5">
        <f>PI()/2*B291/$G$6</f>
        <v>3.0473448739820994</v>
      </c>
      <c r="D291" s="4">
        <f t="shared" si="29"/>
        <v>-0.99556196460308</v>
      </c>
      <c r="E291" s="5">
        <f t="shared" si="25"/>
        <v>0.5730510011873439</v>
      </c>
      <c r="F291" s="4">
        <f t="shared" si="30"/>
        <v>-2.418067243702065</v>
      </c>
      <c r="G291" s="5">
        <f t="shared" si="26"/>
        <v>-3.6962400051857665</v>
      </c>
      <c r="H291" s="4">
        <f t="shared" si="27"/>
        <v>4.770562623942033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5">
        <v>99</v>
      </c>
      <c r="B292" s="5">
        <f t="shared" si="28"/>
        <v>19.6</v>
      </c>
      <c r="C292" s="5">
        <f>PI()/2*B292/$G$6</f>
        <v>3.0787608005179976</v>
      </c>
      <c r="D292" s="4">
        <f t="shared" si="29"/>
        <v>-0.9980267284282716</v>
      </c>
      <c r="E292" s="5">
        <f t="shared" si="25"/>
        <v>0.5633445740545886</v>
      </c>
      <c r="F292" s="4">
        <f t="shared" si="30"/>
        <v>-2.492258843050853</v>
      </c>
      <c r="G292" s="5">
        <f t="shared" si="26"/>
        <v>-3.598611388640094</v>
      </c>
      <c r="H292" s="4">
        <f t="shared" si="27"/>
        <v>4.896210446907007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5">
        <v>100</v>
      </c>
      <c r="B293" s="5">
        <f t="shared" si="28"/>
        <v>19.8</v>
      </c>
      <c r="C293" s="5">
        <f>PI()/2*B293/$G$6</f>
        <v>3.1101767270538954</v>
      </c>
      <c r="D293" s="4">
        <f t="shared" si="29"/>
        <v>-0.9995065603657316</v>
      </c>
      <c r="E293" s="5">
        <f t="shared" si="25"/>
        <v>0.5575045626154443</v>
      </c>
      <c r="F293" s="4">
        <f t="shared" si="30"/>
        <v>-2.5375157400069477</v>
      </c>
      <c r="G293" s="5">
        <f t="shared" si="26"/>
        <v>-3.540912029976276</v>
      </c>
      <c r="H293" s="4">
        <f t="shared" si="27"/>
        <v>4.973774627026725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5">
        <v>101</v>
      </c>
      <c r="B294" s="5">
        <f t="shared" si="28"/>
        <v>20</v>
      </c>
      <c r="C294" s="5">
        <f>PI()/2*B294/$G$6</f>
        <v>3.141592653589793</v>
      </c>
      <c r="D294" s="4">
        <f t="shared" si="29"/>
        <v>-1</v>
      </c>
      <c r="E294" s="5">
        <f t="shared" si="25"/>
        <v>0.5555555555555556</v>
      </c>
      <c r="F294" s="4">
        <f t="shared" si="30"/>
        <v>-2.5527250510330606</v>
      </c>
      <c r="G294" s="5">
        <f t="shared" si="26"/>
        <v>-3.521825181113625</v>
      </c>
      <c r="H294" s="4">
        <f t="shared" si="27"/>
        <v>4.999999999999997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64" ht="12.75">
      <c r="A296" s="4"/>
      <c r="B296" s="4"/>
      <c r="C296" s="4"/>
      <c r="D296" s="4"/>
      <c r="E296" s="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BL296" s="28"/>
    </row>
    <row r="297" spans="1:26" ht="12.75">
      <c r="A297" s="4"/>
      <c r="B297" s="4"/>
      <c r="C297" s="4"/>
      <c r="D297" s="4"/>
      <c r="E297" s="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79" ht="12.75">
      <c r="A298" s="14"/>
      <c r="B298" s="12"/>
      <c r="C298" s="13"/>
      <c r="D298" s="14"/>
      <c r="E298" s="12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3"/>
      <c r="BX298" s="33"/>
      <c r="BY298" s="33"/>
      <c r="BZ298" s="33"/>
      <c r="CA298" s="28"/>
    </row>
    <row r="299" spans="1:79" ht="12.75">
      <c r="A299" s="12"/>
      <c r="B299" s="12"/>
      <c r="C299" s="14"/>
      <c r="D299" s="14"/>
      <c r="E299" s="1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28"/>
      <c r="AM299" s="33"/>
      <c r="AN299" s="33"/>
      <c r="AO299" s="33"/>
      <c r="AP299" s="28"/>
      <c r="AQ299" s="33"/>
      <c r="AR299" s="33"/>
      <c r="AS299" s="33"/>
      <c r="AT299" s="28"/>
      <c r="AU299" s="33"/>
      <c r="AV299" s="33"/>
      <c r="AW299" s="33"/>
      <c r="AX299" s="28"/>
      <c r="AY299" s="33"/>
      <c r="AZ299" s="33"/>
      <c r="BA299" s="33"/>
      <c r="BB299" s="28"/>
      <c r="BC299" s="33"/>
      <c r="BD299" s="33"/>
      <c r="BE299" s="33"/>
      <c r="BF299" s="28"/>
      <c r="BG299" s="33"/>
      <c r="BH299" s="33"/>
      <c r="BI299" s="33"/>
      <c r="BJ299" s="28"/>
      <c r="BK299" s="33"/>
      <c r="BL299" s="33"/>
      <c r="BM299" s="33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</row>
    <row r="300" spans="1:79" ht="12.75">
      <c r="A300" s="12"/>
      <c r="B300" s="12"/>
      <c r="C300" s="28"/>
      <c r="D300" s="28"/>
      <c r="E300" s="33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28"/>
      <c r="AM300" s="33"/>
      <c r="AN300" s="33"/>
      <c r="AO300" s="33"/>
      <c r="AP300" s="28"/>
      <c r="AQ300" s="33"/>
      <c r="AR300" s="33"/>
      <c r="AS300" s="33"/>
      <c r="AT300" s="28"/>
      <c r="AU300" s="33"/>
      <c r="AV300" s="33"/>
      <c r="AW300" s="33"/>
      <c r="AX300" s="28"/>
      <c r="AY300" s="33"/>
      <c r="AZ300" s="33"/>
      <c r="BA300" s="33"/>
      <c r="BB300" s="28"/>
      <c r="BC300" s="33"/>
      <c r="BD300" s="33"/>
      <c r="BE300" s="33"/>
      <c r="BF300" s="28"/>
      <c r="BG300" s="33"/>
      <c r="BH300" s="33"/>
      <c r="BI300" s="33"/>
      <c r="BJ300" s="28"/>
      <c r="BK300" s="33"/>
      <c r="BL300" s="33"/>
      <c r="BM300" s="33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</row>
    <row r="301" spans="1:65" ht="12.75">
      <c r="A301" s="5"/>
      <c r="B301" s="5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M301" s="1"/>
      <c r="AN301" s="1"/>
      <c r="AO301" s="1"/>
      <c r="AQ301" s="1"/>
      <c r="AR301" s="1"/>
      <c r="AS301" s="1"/>
      <c r="AU301" s="1"/>
      <c r="AV301" s="1"/>
      <c r="AW301" s="1"/>
      <c r="AY301" s="1"/>
      <c r="AZ301" s="1"/>
      <c r="BA301" s="1"/>
      <c r="BC301" s="1"/>
      <c r="BD301" s="1"/>
      <c r="BE301" s="1"/>
      <c r="BG301" s="1"/>
      <c r="BH301" s="1"/>
      <c r="BI301" s="1"/>
      <c r="BK301" s="1"/>
      <c r="BL301" s="1"/>
      <c r="BM301" s="1"/>
    </row>
    <row r="302" spans="1:65" ht="12.75">
      <c r="A302" s="5"/>
      <c r="B302" s="5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M302" s="1"/>
      <c r="AN302" s="1"/>
      <c r="AO302" s="1"/>
      <c r="AQ302" s="1"/>
      <c r="AR302" s="1"/>
      <c r="AS302" s="1"/>
      <c r="AU302" s="1"/>
      <c r="AV302" s="1"/>
      <c r="AW302" s="1"/>
      <c r="AY302" s="1"/>
      <c r="AZ302" s="1"/>
      <c r="BA302" s="1"/>
      <c r="BC302" s="1"/>
      <c r="BD302" s="1"/>
      <c r="BE302" s="1"/>
      <c r="BG302" s="1"/>
      <c r="BH302" s="1"/>
      <c r="BI302" s="1"/>
      <c r="BK302" s="1"/>
      <c r="BL302" s="1"/>
      <c r="BM302" s="1"/>
    </row>
    <row r="303" spans="1:65" ht="12.75">
      <c r="A303" s="5"/>
      <c r="B303" s="5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M303" s="1"/>
      <c r="AN303" s="1"/>
      <c r="AO303" s="1"/>
      <c r="AQ303" s="1"/>
      <c r="AR303" s="1"/>
      <c r="AS303" s="1"/>
      <c r="AU303" s="1"/>
      <c r="AV303" s="1"/>
      <c r="AW303" s="1"/>
      <c r="AY303" s="1"/>
      <c r="AZ303" s="1"/>
      <c r="BA303" s="1"/>
      <c r="BC303" s="1"/>
      <c r="BD303" s="1"/>
      <c r="BE303" s="1"/>
      <c r="BG303" s="1"/>
      <c r="BH303" s="1"/>
      <c r="BI303" s="1"/>
      <c r="BK303" s="1"/>
      <c r="BL303" s="1"/>
      <c r="BM303" s="1"/>
    </row>
    <row r="304" spans="1:65" ht="12.75">
      <c r="A304" s="5"/>
      <c r="B304" s="5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M304" s="1"/>
      <c r="AN304" s="1"/>
      <c r="AO304" s="1"/>
      <c r="AQ304" s="1"/>
      <c r="AR304" s="1"/>
      <c r="AS304" s="1"/>
      <c r="AU304" s="1"/>
      <c r="AV304" s="1"/>
      <c r="AW304" s="1"/>
      <c r="AY304" s="1"/>
      <c r="AZ304" s="1"/>
      <c r="BA304" s="1"/>
      <c r="BC304" s="1"/>
      <c r="BD304" s="1"/>
      <c r="BE304" s="1"/>
      <c r="BG304" s="1"/>
      <c r="BH304" s="1"/>
      <c r="BI304" s="1"/>
      <c r="BK304" s="1"/>
      <c r="BL304" s="1"/>
      <c r="BM304" s="1"/>
    </row>
    <row r="305" spans="1:65" ht="12.75">
      <c r="A305" s="5"/>
      <c r="B305" s="5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M305" s="1"/>
      <c r="AN305" s="1"/>
      <c r="AO305" s="1"/>
      <c r="AQ305" s="1"/>
      <c r="AR305" s="1"/>
      <c r="AS305" s="1"/>
      <c r="AU305" s="1"/>
      <c r="AV305" s="1"/>
      <c r="AW305" s="1"/>
      <c r="AY305" s="1"/>
      <c r="AZ305" s="1"/>
      <c r="BA305" s="1"/>
      <c r="BC305" s="1"/>
      <c r="BD305" s="1"/>
      <c r="BE305" s="1"/>
      <c r="BG305" s="1"/>
      <c r="BH305" s="1"/>
      <c r="BI305" s="1"/>
      <c r="BK305" s="1"/>
      <c r="BL305" s="1"/>
      <c r="BM305" s="1"/>
    </row>
    <row r="306" spans="1:65" ht="12.75">
      <c r="A306" s="5"/>
      <c r="B306" s="5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M306" s="1"/>
      <c r="AN306" s="1"/>
      <c r="AO306" s="1"/>
      <c r="AQ306" s="1"/>
      <c r="AR306" s="1"/>
      <c r="AS306" s="1"/>
      <c r="AU306" s="1"/>
      <c r="AV306" s="1"/>
      <c r="AW306" s="1"/>
      <c r="AY306" s="1"/>
      <c r="AZ306" s="1"/>
      <c r="BA306" s="1"/>
      <c r="BC306" s="1"/>
      <c r="BD306" s="1"/>
      <c r="BE306" s="1"/>
      <c r="BG306" s="1"/>
      <c r="BH306" s="1"/>
      <c r="BI306" s="1"/>
      <c r="BK306" s="1"/>
      <c r="BL306" s="1"/>
      <c r="BM306" s="1"/>
    </row>
    <row r="307" spans="1:65" ht="12.75">
      <c r="A307" s="5"/>
      <c r="B307" s="5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M307" s="1"/>
      <c r="AN307" s="1"/>
      <c r="AO307" s="1"/>
      <c r="AQ307" s="1"/>
      <c r="AR307" s="1"/>
      <c r="AS307" s="1"/>
      <c r="AU307" s="1"/>
      <c r="AV307" s="1"/>
      <c r="AW307" s="1"/>
      <c r="AY307" s="1"/>
      <c r="AZ307" s="1"/>
      <c r="BA307" s="1"/>
      <c r="BC307" s="1"/>
      <c r="BD307" s="1"/>
      <c r="BE307" s="1"/>
      <c r="BG307" s="1"/>
      <c r="BH307" s="1"/>
      <c r="BI307" s="1"/>
      <c r="BK307" s="1"/>
      <c r="BL307" s="1"/>
      <c r="BM307" s="1"/>
    </row>
    <row r="308" spans="1:65" ht="12.75">
      <c r="A308" s="5"/>
      <c r="B308" s="5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M308" s="1"/>
      <c r="AN308" s="1"/>
      <c r="AO308" s="1"/>
      <c r="AQ308" s="1"/>
      <c r="AR308" s="1"/>
      <c r="AS308" s="1"/>
      <c r="AU308" s="1"/>
      <c r="AV308" s="1"/>
      <c r="AW308" s="1"/>
      <c r="AY308" s="1"/>
      <c r="AZ308" s="1"/>
      <c r="BA308" s="1"/>
      <c r="BC308" s="1"/>
      <c r="BD308" s="1"/>
      <c r="BE308" s="1"/>
      <c r="BG308" s="1"/>
      <c r="BH308" s="1"/>
      <c r="BI308" s="1"/>
      <c r="BK308" s="1"/>
      <c r="BL308" s="1"/>
      <c r="BM308" s="1"/>
    </row>
    <row r="309" spans="1:65" ht="12.75">
      <c r="A309" s="5"/>
      <c r="B309" s="5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M309" s="1"/>
      <c r="AN309" s="1"/>
      <c r="AO309" s="1"/>
      <c r="AQ309" s="1"/>
      <c r="AR309" s="1"/>
      <c r="AS309" s="1"/>
      <c r="AU309" s="1"/>
      <c r="AV309" s="1"/>
      <c r="AW309" s="1"/>
      <c r="AY309" s="1"/>
      <c r="AZ309" s="1"/>
      <c r="BA309" s="1"/>
      <c r="BC309" s="1"/>
      <c r="BD309" s="1"/>
      <c r="BE309" s="1"/>
      <c r="BG309" s="1"/>
      <c r="BH309" s="1"/>
      <c r="BI309" s="1"/>
      <c r="BK309" s="1"/>
      <c r="BL309" s="1"/>
      <c r="BM309" s="1"/>
    </row>
    <row r="310" spans="1:65" ht="12.75">
      <c r="A310" s="5"/>
      <c r="B310" s="5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M310" s="1"/>
      <c r="AN310" s="1"/>
      <c r="AO310" s="1"/>
      <c r="AQ310" s="1"/>
      <c r="AR310" s="1"/>
      <c r="AS310" s="1"/>
      <c r="AU310" s="1"/>
      <c r="AV310" s="1"/>
      <c r="AW310" s="1"/>
      <c r="AY310" s="1"/>
      <c r="AZ310" s="1"/>
      <c r="BA310" s="1"/>
      <c r="BC310" s="1"/>
      <c r="BD310" s="1"/>
      <c r="BE310" s="1"/>
      <c r="BG310" s="1"/>
      <c r="BH310" s="1"/>
      <c r="BI310" s="1"/>
      <c r="BK310" s="1"/>
      <c r="BL310" s="1"/>
      <c r="BM310" s="1"/>
    </row>
    <row r="311" spans="1:65" ht="12.75">
      <c r="A311" s="5"/>
      <c r="B311" s="5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M311" s="1"/>
      <c r="AN311" s="1"/>
      <c r="AO311" s="1"/>
      <c r="AQ311" s="1"/>
      <c r="AR311" s="1"/>
      <c r="AS311" s="1"/>
      <c r="AU311" s="1"/>
      <c r="AV311" s="1"/>
      <c r="AW311" s="1"/>
      <c r="AY311" s="1"/>
      <c r="AZ311" s="1"/>
      <c r="BA311" s="1"/>
      <c r="BC311" s="1"/>
      <c r="BD311" s="1"/>
      <c r="BE311" s="1"/>
      <c r="BG311" s="1"/>
      <c r="BH311" s="1"/>
      <c r="BI311" s="1"/>
      <c r="BK311" s="1"/>
      <c r="BL311" s="1"/>
      <c r="BM311" s="1"/>
    </row>
    <row r="312" spans="1:65" ht="12.75">
      <c r="A312" s="5"/>
      <c r="B312" s="5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M312" s="1"/>
      <c r="AN312" s="1"/>
      <c r="AO312" s="1"/>
      <c r="AQ312" s="1"/>
      <c r="AR312" s="1"/>
      <c r="AS312" s="1"/>
      <c r="AU312" s="1"/>
      <c r="AV312" s="1"/>
      <c r="AW312" s="1"/>
      <c r="AY312" s="1"/>
      <c r="AZ312" s="1"/>
      <c r="BA312" s="1"/>
      <c r="BC312" s="1"/>
      <c r="BD312" s="1"/>
      <c r="BE312" s="1"/>
      <c r="BG312" s="1"/>
      <c r="BH312" s="1"/>
      <c r="BI312" s="1"/>
      <c r="BK312" s="1"/>
      <c r="BL312" s="1"/>
      <c r="BM312" s="1"/>
    </row>
    <row r="313" spans="1:65" ht="12.75">
      <c r="A313" s="5"/>
      <c r="B313" s="5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M313" s="1"/>
      <c r="AN313" s="1"/>
      <c r="AO313" s="1"/>
      <c r="AQ313" s="1"/>
      <c r="AR313" s="1"/>
      <c r="AS313" s="1"/>
      <c r="AU313" s="1"/>
      <c r="AV313" s="1"/>
      <c r="AW313" s="1"/>
      <c r="AY313" s="1"/>
      <c r="AZ313" s="1"/>
      <c r="BA313" s="1"/>
      <c r="BC313" s="1"/>
      <c r="BD313" s="1"/>
      <c r="BE313" s="1"/>
      <c r="BG313" s="1"/>
      <c r="BH313" s="1"/>
      <c r="BI313" s="1"/>
      <c r="BK313" s="1"/>
      <c r="BL313" s="1"/>
      <c r="BM313" s="1"/>
    </row>
    <row r="314" spans="1:65" ht="12.75">
      <c r="A314" s="5"/>
      <c r="B314" s="5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M314" s="1"/>
      <c r="AN314" s="1"/>
      <c r="AO314" s="1"/>
      <c r="AQ314" s="1"/>
      <c r="AR314" s="1"/>
      <c r="AS314" s="1"/>
      <c r="AU314" s="1"/>
      <c r="AV314" s="1"/>
      <c r="AW314" s="1"/>
      <c r="AY314" s="1"/>
      <c r="AZ314" s="1"/>
      <c r="BA314" s="1"/>
      <c r="BC314" s="1"/>
      <c r="BD314" s="1"/>
      <c r="BE314" s="1"/>
      <c r="BG314" s="1"/>
      <c r="BH314" s="1"/>
      <c r="BI314" s="1"/>
      <c r="BK314" s="1"/>
      <c r="BL314" s="1"/>
      <c r="BM314" s="1"/>
    </row>
    <row r="315" spans="1:65" ht="12.75">
      <c r="A315" s="5"/>
      <c r="B315" s="5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M315" s="1"/>
      <c r="AN315" s="1"/>
      <c r="AO315" s="1"/>
      <c r="AQ315" s="1"/>
      <c r="AR315" s="1"/>
      <c r="AS315" s="1"/>
      <c r="AU315" s="1"/>
      <c r="AV315" s="1"/>
      <c r="AW315" s="1"/>
      <c r="AY315" s="1"/>
      <c r="AZ315" s="1"/>
      <c r="BA315" s="1"/>
      <c r="BC315" s="1"/>
      <c r="BD315" s="1"/>
      <c r="BE315" s="1"/>
      <c r="BG315" s="1"/>
      <c r="BH315" s="1"/>
      <c r="BI315" s="1"/>
      <c r="BK315" s="1"/>
      <c r="BL315" s="1"/>
      <c r="BM315" s="1"/>
    </row>
    <row r="316" spans="1:65" ht="12.75">
      <c r="A316" s="5"/>
      <c r="B316" s="5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M316" s="1"/>
      <c r="AN316" s="1"/>
      <c r="AO316" s="1"/>
      <c r="AQ316" s="1"/>
      <c r="AR316" s="1"/>
      <c r="AS316" s="1"/>
      <c r="AU316" s="1"/>
      <c r="AV316" s="1"/>
      <c r="AW316" s="1"/>
      <c r="AY316" s="1"/>
      <c r="AZ316" s="1"/>
      <c r="BA316" s="1"/>
      <c r="BC316" s="1"/>
      <c r="BD316" s="1"/>
      <c r="BE316" s="1"/>
      <c r="BG316" s="1"/>
      <c r="BH316" s="1"/>
      <c r="BI316" s="1"/>
      <c r="BK316" s="1"/>
      <c r="BL316" s="1"/>
      <c r="BM316" s="1"/>
    </row>
    <row r="317" spans="1:65" ht="12.75">
      <c r="A317" s="5"/>
      <c r="B317" s="5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M317" s="1"/>
      <c r="AN317" s="1"/>
      <c r="AO317" s="1"/>
      <c r="AQ317" s="1"/>
      <c r="AR317" s="1"/>
      <c r="AS317" s="1"/>
      <c r="AU317" s="1"/>
      <c r="AV317" s="1"/>
      <c r="AW317" s="1"/>
      <c r="AY317" s="1"/>
      <c r="AZ317" s="1"/>
      <c r="BA317" s="1"/>
      <c r="BC317" s="1"/>
      <c r="BD317" s="1"/>
      <c r="BE317" s="1"/>
      <c r="BG317" s="1"/>
      <c r="BH317" s="1"/>
      <c r="BI317" s="1"/>
      <c r="BK317" s="1"/>
      <c r="BL317" s="1"/>
      <c r="BM317" s="1"/>
    </row>
    <row r="318" spans="1:65" ht="12.75">
      <c r="A318" s="5"/>
      <c r="B318" s="5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M318" s="1"/>
      <c r="AN318" s="1"/>
      <c r="AO318" s="1"/>
      <c r="AQ318" s="1"/>
      <c r="AR318" s="1"/>
      <c r="AS318" s="1"/>
      <c r="AU318" s="1"/>
      <c r="AV318" s="1"/>
      <c r="AW318" s="1"/>
      <c r="AY318" s="1"/>
      <c r="AZ318" s="1"/>
      <c r="BA318" s="1"/>
      <c r="BC318" s="1"/>
      <c r="BD318" s="1"/>
      <c r="BE318" s="1"/>
      <c r="BG318" s="1"/>
      <c r="BH318" s="1"/>
      <c r="BI318" s="1"/>
      <c r="BK318" s="1"/>
      <c r="BL318" s="1"/>
      <c r="BM318" s="1"/>
    </row>
    <row r="319" spans="1:65" ht="12.75">
      <c r="A319" s="5"/>
      <c r="B319" s="5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M319" s="1"/>
      <c r="AN319" s="1"/>
      <c r="AO319" s="1"/>
      <c r="AQ319" s="1"/>
      <c r="AR319" s="1"/>
      <c r="AS319" s="1"/>
      <c r="AU319" s="1"/>
      <c r="AV319" s="1"/>
      <c r="AW319" s="1"/>
      <c r="AY319" s="1"/>
      <c r="AZ319" s="1"/>
      <c r="BA319" s="1"/>
      <c r="BC319" s="1"/>
      <c r="BD319" s="1"/>
      <c r="BE319" s="1"/>
      <c r="BG319" s="1"/>
      <c r="BH319" s="1"/>
      <c r="BI319" s="1"/>
      <c r="BK319" s="1"/>
      <c r="BL319" s="1"/>
      <c r="BM319" s="1"/>
    </row>
    <row r="320" spans="1:65" ht="12.75">
      <c r="A320" s="5"/>
      <c r="B320" s="5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M320" s="1"/>
      <c r="AN320" s="1"/>
      <c r="AO320" s="1"/>
      <c r="AQ320" s="1"/>
      <c r="AR320" s="1"/>
      <c r="AS320" s="1"/>
      <c r="AU320" s="1"/>
      <c r="AV320" s="1"/>
      <c r="AW320" s="1"/>
      <c r="AY320" s="1"/>
      <c r="AZ320" s="1"/>
      <c r="BA320" s="1"/>
      <c r="BC320" s="1"/>
      <c r="BD320" s="1"/>
      <c r="BE320" s="1"/>
      <c r="BG320" s="1"/>
      <c r="BH320" s="1"/>
      <c r="BI320" s="1"/>
      <c r="BK320" s="1"/>
      <c r="BL320" s="1"/>
      <c r="BM320" s="1"/>
    </row>
    <row r="321" spans="1:65" ht="12.75">
      <c r="A321" s="5"/>
      <c r="B321" s="5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M321" s="1"/>
      <c r="AN321" s="1"/>
      <c r="AO321" s="1"/>
      <c r="AQ321" s="1"/>
      <c r="AR321" s="1"/>
      <c r="AS321" s="1"/>
      <c r="AU321" s="1"/>
      <c r="AV321" s="1"/>
      <c r="AW321" s="1"/>
      <c r="AY321" s="1"/>
      <c r="AZ321" s="1"/>
      <c r="BA321" s="1"/>
      <c r="BC321" s="1"/>
      <c r="BD321" s="1"/>
      <c r="BE321" s="1"/>
      <c r="BG321" s="1"/>
      <c r="BH321" s="1"/>
      <c r="BI321" s="1"/>
      <c r="BK321" s="1"/>
      <c r="BL321" s="1"/>
      <c r="BM321" s="1"/>
    </row>
    <row r="322" spans="1:65" ht="12.75">
      <c r="A322" s="5"/>
      <c r="B322" s="5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M322" s="1"/>
      <c r="AN322" s="1"/>
      <c r="AO322" s="1"/>
      <c r="AQ322" s="1"/>
      <c r="AR322" s="1"/>
      <c r="AS322" s="1"/>
      <c r="AU322" s="1"/>
      <c r="AV322" s="1"/>
      <c r="AW322" s="1"/>
      <c r="AY322" s="1"/>
      <c r="AZ322" s="1"/>
      <c r="BA322" s="1"/>
      <c r="BC322" s="1"/>
      <c r="BD322" s="1"/>
      <c r="BE322" s="1"/>
      <c r="BG322" s="1"/>
      <c r="BH322" s="1"/>
      <c r="BI322" s="1"/>
      <c r="BK322" s="1"/>
      <c r="BL322" s="1"/>
      <c r="BM322" s="1"/>
    </row>
    <row r="323" spans="1:65" ht="12.75">
      <c r="A323" s="5"/>
      <c r="B323" s="5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M323" s="1"/>
      <c r="AN323" s="1"/>
      <c r="AO323" s="1"/>
      <c r="AQ323" s="1"/>
      <c r="AR323" s="1"/>
      <c r="AS323" s="1"/>
      <c r="AU323" s="1"/>
      <c r="AV323" s="1"/>
      <c r="AW323" s="1"/>
      <c r="AY323" s="1"/>
      <c r="AZ323" s="1"/>
      <c r="BA323" s="1"/>
      <c r="BC323" s="1"/>
      <c r="BD323" s="1"/>
      <c r="BE323" s="1"/>
      <c r="BG323" s="1"/>
      <c r="BH323" s="1"/>
      <c r="BI323" s="1"/>
      <c r="BK323" s="1"/>
      <c r="BL323" s="1"/>
      <c r="BM323" s="1"/>
    </row>
    <row r="324" spans="1:65" ht="12.75">
      <c r="A324" s="5"/>
      <c r="B324" s="5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M324" s="1"/>
      <c r="AN324" s="1"/>
      <c r="AO324" s="1"/>
      <c r="AQ324" s="1"/>
      <c r="AR324" s="1"/>
      <c r="AS324" s="1"/>
      <c r="AU324" s="1"/>
      <c r="AV324" s="1"/>
      <c r="AW324" s="1"/>
      <c r="AY324" s="1"/>
      <c r="AZ324" s="1"/>
      <c r="BA324" s="1"/>
      <c r="BC324" s="1"/>
      <c r="BD324" s="1"/>
      <c r="BE324" s="1"/>
      <c r="BG324" s="1"/>
      <c r="BH324" s="1"/>
      <c r="BI324" s="1"/>
      <c r="BK324" s="1"/>
      <c r="BL324" s="1"/>
      <c r="BM324" s="1"/>
    </row>
    <row r="325" spans="1:65" ht="12.75">
      <c r="A325" s="5"/>
      <c r="B325" s="5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M325" s="1"/>
      <c r="AN325" s="1"/>
      <c r="AO325" s="1"/>
      <c r="AQ325" s="1"/>
      <c r="AR325" s="1"/>
      <c r="AS325" s="1"/>
      <c r="AU325" s="1"/>
      <c r="AV325" s="1"/>
      <c r="AW325" s="1"/>
      <c r="AY325" s="1"/>
      <c r="AZ325" s="1"/>
      <c r="BA325" s="1"/>
      <c r="BC325" s="1"/>
      <c r="BD325" s="1"/>
      <c r="BE325" s="1"/>
      <c r="BG325" s="1"/>
      <c r="BH325" s="1"/>
      <c r="BI325" s="1"/>
      <c r="BK325" s="1"/>
      <c r="BL325" s="1"/>
      <c r="BM325" s="1"/>
    </row>
    <row r="326" spans="1:65" ht="12.75">
      <c r="A326" s="5"/>
      <c r="B326" s="5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M326" s="1"/>
      <c r="AN326" s="1"/>
      <c r="AO326" s="1"/>
      <c r="AQ326" s="1"/>
      <c r="AR326" s="1"/>
      <c r="AS326" s="1"/>
      <c r="AU326" s="1"/>
      <c r="AV326" s="1"/>
      <c r="AW326" s="1"/>
      <c r="AY326" s="1"/>
      <c r="AZ326" s="1"/>
      <c r="BA326" s="1"/>
      <c r="BC326" s="1"/>
      <c r="BD326" s="1"/>
      <c r="BE326" s="1"/>
      <c r="BG326" s="1"/>
      <c r="BH326" s="1"/>
      <c r="BI326" s="1"/>
      <c r="BK326" s="1"/>
      <c r="BL326" s="1"/>
      <c r="BM326" s="1"/>
    </row>
    <row r="327" spans="1:65" ht="12.75">
      <c r="A327" s="5"/>
      <c r="B327" s="5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M327" s="1"/>
      <c r="AN327" s="1"/>
      <c r="AO327" s="1"/>
      <c r="AQ327" s="1"/>
      <c r="AR327" s="1"/>
      <c r="AS327" s="1"/>
      <c r="AU327" s="1"/>
      <c r="AV327" s="1"/>
      <c r="AW327" s="1"/>
      <c r="AY327" s="1"/>
      <c r="AZ327" s="1"/>
      <c r="BA327" s="1"/>
      <c r="BC327" s="1"/>
      <c r="BD327" s="1"/>
      <c r="BE327" s="1"/>
      <c r="BG327" s="1"/>
      <c r="BH327" s="1"/>
      <c r="BI327" s="1"/>
      <c r="BK327" s="1"/>
      <c r="BL327" s="1"/>
      <c r="BM327" s="1"/>
    </row>
    <row r="328" spans="1:65" ht="12.75">
      <c r="A328" s="5"/>
      <c r="B328" s="5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M328" s="1"/>
      <c r="AN328" s="1"/>
      <c r="AO328" s="1"/>
      <c r="AQ328" s="1"/>
      <c r="AR328" s="1"/>
      <c r="AS328" s="1"/>
      <c r="AU328" s="1"/>
      <c r="AV328" s="1"/>
      <c r="AW328" s="1"/>
      <c r="AY328" s="1"/>
      <c r="AZ328" s="1"/>
      <c r="BA328" s="1"/>
      <c r="BC328" s="1"/>
      <c r="BD328" s="1"/>
      <c r="BE328" s="1"/>
      <c r="BG328" s="1"/>
      <c r="BH328" s="1"/>
      <c r="BI328" s="1"/>
      <c r="BK328" s="1"/>
      <c r="BL328" s="1"/>
      <c r="BM328" s="1"/>
    </row>
    <row r="329" spans="1:65" ht="12.75">
      <c r="A329" s="5"/>
      <c r="B329" s="5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M329" s="1"/>
      <c r="AN329" s="1"/>
      <c r="AO329" s="1"/>
      <c r="AQ329" s="1"/>
      <c r="AR329" s="1"/>
      <c r="AS329" s="1"/>
      <c r="AU329" s="1"/>
      <c r="AV329" s="1"/>
      <c r="AW329" s="1"/>
      <c r="AY329" s="1"/>
      <c r="AZ329" s="1"/>
      <c r="BA329" s="1"/>
      <c r="BC329" s="1"/>
      <c r="BD329" s="1"/>
      <c r="BE329" s="1"/>
      <c r="BG329" s="1"/>
      <c r="BH329" s="1"/>
      <c r="BI329" s="1"/>
      <c r="BK329" s="1"/>
      <c r="BL329" s="1"/>
      <c r="BM329" s="1"/>
    </row>
    <row r="330" spans="1:65" ht="12.75">
      <c r="A330" s="5"/>
      <c r="B330" s="5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M330" s="1"/>
      <c r="AN330" s="1"/>
      <c r="AO330" s="1"/>
      <c r="AQ330" s="1"/>
      <c r="AR330" s="1"/>
      <c r="AS330" s="1"/>
      <c r="AU330" s="1"/>
      <c r="AV330" s="1"/>
      <c r="AW330" s="1"/>
      <c r="AY330" s="1"/>
      <c r="AZ330" s="1"/>
      <c r="BA330" s="1"/>
      <c r="BC330" s="1"/>
      <c r="BD330" s="1"/>
      <c r="BE330" s="1"/>
      <c r="BG330" s="1"/>
      <c r="BH330" s="1"/>
      <c r="BI330" s="1"/>
      <c r="BK330" s="1"/>
      <c r="BL330" s="1"/>
      <c r="BM330" s="1"/>
    </row>
    <row r="331" spans="1:65" ht="12.75">
      <c r="A331" s="5"/>
      <c r="B331" s="5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M331" s="1"/>
      <c r="AN331" s="1"/>
      <c r="AO331" s="1"/>
      <c r="AQ331" s="1"/>
      <c r="AR331" s="1"/>
      <c r="AS331" s="1"/>
      <c r="AU331" s="1"/>
      <c r="AV331" s="1"/>
      <c r="AW331" s="1"/>
      <c r="AY331" s="1"/>
      <c r="AZ331" s="1"/>
      <c r="BA331" s="1"/>
      <c r="BC331" s="1"/>
      <c r="BD331" s="1"/>
      <c r="BE331" s="1"/>
      <c r="BG331" s="1"/>
      <c r="BH331" s="1"/>
      <c r="BI331" s="1"/>
      <c r="BK331" s="1"/>
      <c r="BL331" s="1"/>
      <c r="BM331" s="1"/>
    </row>
    <row r="332" spans="1:65" ht="12.75">
      <c r="A332" s="5"/>
      <c r="B332" s="5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M332" s="1"/>
      <c r="AN332" s="1"/>
      <c r="AO332" s="1"/>
      <c r="AQ332" s="1"/>
      <c r="AR332" s="1"/>
      <c r="AS332" s="1"/>
      <c r="AU332" s="1"/>
      <c r="AV332" s="1"/>
      <c r="AW332" s="1"/>
      <c r="AY332" s="1"/>
      <c r="AZ332" s="1"/>
      <c r="BA332" s="1"/>
      <c r="BC332" s="1"/>
      <c r="BD332" s="1"/>
      <c r="BE332" s="1"/>
      <c r="BG332" s="1"/>
      <c r="BH332" s="1"/>
      <c r="BI332" s="1"/>
      <c r="BK332" s="1"/>
      <c r="BL332" s="1"/>
      <c r="BM332" s="1"/>
    </row>
    <row r="333" spans="1:65" ht="12.75">
      <c r="A333" s="5"/>
      <c r="B333" s="5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M333" s="1"/>
      <c r="AN333" s="1"/>
      <c r="AO333" s="1"/>
      <c r="AQ333" s="1"/>
      <c r="AR333" s="1"/>
      <c r="AS333" s="1"/>
      <c r="AU333" s="1"/>
      <c r="AV333" s="1"/>
      <c r="AW333" s="1"/>
      <c r="AY333" s="1"/>
      <c r="AZ333" s="1"/>
      <c r="BA333" s="1"/>
      <c r="BC333" s="1"/>
      <c r="BD333" s="1"/>
      <c r="BE333" s="1"/>
      <c r="BG333" s="1"/>
      <c r="BH333" s="1"/>
      <c r="BI333" s="1"/>
      <c r="BK333" s="1"/>
      <c r="BL333" s="1"/>
      <c r="BM333" s="1"/>
    </row>
    <row r="334" spans="1:65" ht="12.75">
      <c r="A334" s="5"/>
      <c r="B334" s="5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M334" s="1"/>
      <c r="AN334" s="1"/>
      <c r="AO334" s="1"/>
      <c r="AQ334" s="1"/>
      <c r="AR334" s="1"/>
      <c r="AS334" s="1"/>
      <c r="AU334" s="1"/>
      <c r="AV334" s="1"/>
      <c r="AW334" s="1"/>
      <c r="AY334" s="1"/>
      <c r="AZ334" s="1"/>
      <c r="BA334" s="1"/>
      <c r="BC334" s="1"/>
      <c r="BD334" s="1"/>
      <c r="BE334" s="1"/>
      <c r="BG334" s="1"/>
      <c r="BH334" s="1"/>
      <c r="BI334" s="1"/>
      <c r="BK334" s="1"/>
      <c r="BL334" s="1"/>
      <c r="BM334" s="1"/>
    </row>
    <row r="335" spans="1:65" ht="12.75">
      <c r="A335" s="5"/>
      <c r="B335" s="5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M335" s="1"/>
      <c r="AN335" s="1"/>
      <c r="AO335" s="1"/>
      <c r="AQ335" s="1"/>
      <c r="AR335" s="1"/>
      <c r="AS335" s="1"/>
      <c r="AU335" s="1"/>
      <c r="AV335" s="1"/>
      <c r="AW335" s="1"/>
      <c r="AY335" s="1"/>
      <c r="AZ335" s="1"/>
      <c r="BA335" s="1"/>
      <c r="BC335" s="1"/>
      <c r="BD335" s="1"/>
      <c r="BE335" s="1"/>
      <c r="BG335" s="1"/>
      <c r="BH335" s="1"/>
      <c r="BI335" s="1"/>
      <c r="BK335" s="1"/>
      <c r="BL335" s="1"/>
      <c r="BM335" s="1"/>
    </row>
    <row r="336" spans="1:65" ht="12.75">
      <c r="A336" s="5"/>
      <c r="B336" s="5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M336" s="1"/>
      <c r="AN336" s="1"/>
      <c r="AO336" s="1"/>
      <c r="AQ336" s="1"/>
      <c r="AR336" s="1"/>
      <c r="AS336" s="1"/>
      <c r="AU336" s="1"/>
      <c r="AV336" s="1"/>
      <c r="AW336" s="1"/>
      <c r="AY336" s="1"/>
      <c r="AZ336" s="1"/>
      <c r="BA336" s="1"/>
      <c r="BC336" s="1"/>
      <c r="BD336" s="1"/>
      <c r="BE336" s="1"/>
      <c r="BG336" s="1"/>
      <c r="BH336" s="1"/>
      <c r="BI336" s="1"/>
      <c r="BK336" s="1"/>
      <c r="BL336" s="1"/>
      <c r="BM336" s="1"/>
    </row>
    <row r="337" spans="1:65" ht="12.75">
      <c r="A337" s="5"/>
      <c r="B337" s="5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M337" s="1"/>
      <c r="AN337" s="1"/>
      <c r="AO337" s="1"/>
      <c r="AQ337" s="1"/>
      <c r="AR337" s="1"/>
      <c r="AS337" s="1"/>
      <c r="AU337" s="1"/>
      <c r="AV337" s="1"/>
      <c r="AW337" s="1"/>
      <c r="AY337" s="1"/>
      <c r="AZ337" s="1"/>
      <c r="BA337" s="1"/>
      <c r="BC337" s="1"/>
      <c r="BD337" s="1"/>
      <c r="BE337" s="1"/>
      <c r="BG337" s="1"/>
      <c r="BH337" s="1"/>
      <c r="BI337" s="1"/>
      <c r="BK337" s="1"/>
      <c r="BL337" s="1"/>
      <c r="BM337" s="1"/>
    </row>
    <row r="338" spans="1:65" ht="12.75">
      <c r="A338" s="5"/>
      <c r="B338" s="5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M338" s="1"/>
      <c r="AN338" s="1"/>
      <c r="AO338" s="1"/>
      <c r="AQ338" s="1"/>
      <c r="AR338" s="1"/>
      <c r="AS338" s="1"/>
      <c r="AU338" s="1"/>
      <c r="AV338" s="1"/>
      <c r="AW338" s="1"/>
      <c r="AY338" s="1"/>
      <c r="AZ338" s="1"/>
      <c r="BA338" s="1"/>
      <c r="BC338" s="1"/>
      <c r="BD338" s="1"/>
      <c r="BE338" s="1"/>
      <c r="BG338" s="1"/>
      <c r="BH338" s="1"/>
      <c r="BI338" s="1"/>
      <c r="BK338" s="1"/>
      <c r="BL338" s="1"/>
      <c r="BM338" s="1"/>
    </row>
    <row r="339" spans="1:65" ht="12.75">
      <c r="A339" s="5"/>
      <c r="B339" s="5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M339" s="1"/>
      <c r="AN339" s="1"/>
      <c r="AO339" s="1"/>
      <c r="AQ339" s="1"/>
      <c r="AR339" s="1"/>
      <c r="AS339" s="1"/>
      <c r="AU339" s="1"/>
      <c r="AV339" s="1"/>
      <c r="AW339" s="1"/>
      <c r="AY339" s="1"/>
      <c r="AZ339" s="1"/>
      <c r="BA339" s="1"/>
      <c r="BC339" s="1"/>
      <c r="BD339" s="1"/>
      <c r="BE339" s="1"/>
      <c r="BG339" s="1"/>
      <c r="BH339" s="1"/>
      <c r="BI339" s="1"/>
      <c r="BK339" s="1"/>
      <c r="BL339" s="1"/>
      <c r="BM339" s="1"/>
    </row>
    <row r="340" spans="1:65" ht="12.75">
      <c r="A340" s="5"/>
      <c r="B340" s="5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M340" s="1"/>
      <c r="AN340" s="1"/>
      <c r="AO340" s="1"/>
      <c r="AQ340" s="1"/>
      <c r="AR340" s="1"/>
      <c r="AS340" s="1"/>
      <c r="AU340" s="1"/>
      <c r="AV340" s="1"/>
      <c r="AW340" s="1"/>
      <c r="AY340" s="1"/>
      <c r="AZ340" s="1"/>
      <c r="BA340" s="1"/>
      <c r="BC340" s="1"/>
      <c r="BD340" s="1"/>
      <c r="BE340" s="1"/>
      <c r="BG340" s="1"/>
      <c r="BH340" s="1"/>
      <c r="BI340" s="1"/>
      <c r="BK340" s="1"/>
      <c r="BL340" s="1"/>
      <c r="BM340" s="1"/>
    </row>
    <row r="341" spans="1:65" ht="12.75">
      <c r="A341" s="5"/>
      <c r="B341" s="5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M341" s="1"/>
      <c r="AN341" s="1"/>
      <c r="AO341" s="1"/>
      <c r="AQ341" s="1"/>
      <c r="AR341" s="1"/>
      <c r="AS341" s="1"/>
      <c r="AU341" s="1"/>
      <c r="AV341" s="1"/>
      <c r="AW341" s="1"/>
      <c r="AY341" s="1"/>
      <c r="AZ341" s="1"/>
      <c r="BA341" s="1"/>
      <c r="BC341" s="1"/>
      <c r="BD341" s="1"/>
      <c r="BE341" s="1"/>
      <c r="BG341" s="1"/>
      <c r="BH341" s="1"/>
      <c r="BI341" s="1"/>
      <c r="BK341" s="1"/>
      <c r="BL341" s="1"/>
      <c r="BM341" s="1"/>
    </row>
    <row r="342" spans="1:65" ht="12.75">
      <c r="A342" s="5"/>
      <c r="B342" s="5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M342" s="1"/>
      <c r="AN342" s="1"/>
      <c r="AO342" s="1"/>
      <c r="AQ342" s="1"/>
      <c r="AR342" s="1"/>
      <c r="AS342" s="1"/>
      <c r="AU342" s="1"/>
      <c r="AV342" s="1"/>
      <c r="AW342" s="1"/>
      <c r="AY342" s="1"/>
      <c r="AZ342" s="1"/>
      <c r="BA342" s="1"/>
      <c r="BC342" s="1"/>
      <c r="BD342" s="1"/>
      <c r="BE342" s="1"/>
      <c r="BG342" s="1"/>
      <c r="BH342" s="1"/>
      <c r="BI342" s="1"/>
      <c r="BK342" s="1"/>
      <c r="BL342" s="1"/>
      <c r="BM342" s="1"/>
    </row>
    <row r="343" spans="1:65" ht="12.75">
      <c r="A343" s="5"/>
      <c r="B343" s="5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M343" s="1"/>
      <c r="AN343" s="1"/>
      <c r="AO343" s="1"/>
      <c r="AQ343" s="1"/>
      <c r="AR343" s="1"/>
      <c r="AS343" s="1"/>
      <c r="AU343" s="1"/>
      <c r="AV343" s="1"/>
      <c r="AW343" s="1"/>
      <c r="AY343" s="1"/>
      <c r="AZ343" s="1"/>
      <c r="BA343" s="1"/>
      <c r="BC343" s="1"/>
      <c r="BD343" s="1"/>
      <c r="BE343" s="1"/>
      <c r="BG343" s="1"/>
      <c r="BH343" s="1"/>
      <c r="BI343" s="1"/>
      <c r="BK343" s="1"/>
      <c r="BL343" s="1"/>
      <c r="BM343" s="1"/>
    </row>
    <row r="344" spans="1:65" ht="12.75">
      <c r="A344" s="5"/>
      <c r="B344" s="5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M344" s="1"/>
      <c r="AN344" s="1"/>
      <c r="AO344" s="1"/>
      <c r="AQ344" s="1"/>
      <c r="AR344" s="1"/>
      <c r="AS344" s="1"/>
      <c r="AU344" s="1"/>
      <c r="AV344" s="1"/>
      <c r="AW344" s="1"/>
      <c r="AY344" s="1"/>
      <c r="AZ344" s="1"/>
      <c r="BA344" s="1"/>
      <c r="BC344" s="1"/>
      <c r="BD344" s="1"/>
      <c r="BE344" s="1"/>
      <c r="BG344" s="1"/>
      <c r="BH344" s="1"/>
      <c r="BI344" s="1"/>
      <c r="BK344" s="1"/>
      <c r="BL344" s="1"/>
      <c r="BM344" s="1"/>
    </row>
    <row r="345" spans="1:65" ht="12.75">
      <c r="A345" s="5"/>
      <c r="B345" s="5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M345" s="1"/>
      <c r="AN345" s="1"/>
      <c r="AO345" s="1"/>
      <c r="AQ345" s="1"/>
      <c r="AR345" s="1"/>
      <c r="AS345" s="1"/>
      <c r="AU345" s="1"/>
      <c r="AV345" s="1"/>
      <c r="AW345" s="1"/>
      <c r="AY345" s="1"/>
      <c r="AZ345" s="1"/>
      <c r="BA345" s="1"/>
      <c r="BC345" s="1"/>
      <c r="BD345" s="1"/>
      <c r="BE345" s="1"/>
      <c r="BG345" s="1"/>
      <c r="BH345" s="1"/>
      <c r="BI345" s="1"/>
      <c r="BK345" s="1"/>
      <c r="BL345" s="1"/>
      <c r="BM345" s="1"/>
    </row>
    <row r="346" spans="1:65" ht="12.75">
      <c r="A346" s="5"/>
      <c r="B346" s="5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M346" s="1"/>
      <c r="AN346" s="1"/>
      <c r="AO346" s="1"/>
      <c r="AQ346" s="1"/>
      <c r="AR346" s="1"/>
      <c r="AS346" s="1"/>
      <c r="AU346" s="1"/>
      <c r="AV346" s="1"/>
      <c r="AW346" s="1"/>
      <c r="AY346" s="1"/>
      <c r="AZ346" s="1"/>
      <c r="BA346" s="1"/>
      <c r="BC346" s="1"/>
      <c r="BD346" s="1"/>
      <c r="BE346" s="1"/>
      <c r="BG346" s="1"/>
      <c r="BH346" s="1"/>
      <c r="BI346" s="1"/>
      <c r="BK346" s="1"/>
      <c r="BL346" s="1"/>
      <c r="BM346" s="1"/>
    </row>
    <row r="347" spans="1:65" ht="12.75">
      <c r="A347" s="5"/>
      <c r="B347" s="5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M347" s="1"/>
      <c r="AN347" s="1"/>
      <c r="AO347" s="1"/>
      <c r="AQ347" s="1"/>
      <c r="AR347" s="1"/>
      <c r="AS347" s="1"/>
      <c r="AU347" s="1"/>
      <c r="AV347" s="1"/>
      <c r="AW347" s="1"/>
      <c r="AY347" s="1"/>
      <c r="AZ347" s="1"/>
      <c r="BA347" s="1"/>
      <c r="BC347" s="1"/>
      <c r="BD347" s="1"/>
      <c r="BE347" s="1"/>
      <c r="BG347" s="1"/>
      <c r="BH347" s="1"/>
      <c r="BI347" s="1"/>
      <c r="BK347" s="1"/>
      <c r="BL347" s="1"/>
      <c r="BM347" s="1"/>
    </row>
    <row r="348" spans="1:65" ht="12.75">
      <c r="A348" s="5"/>
      <c r="B348" s="5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M348" s="1"/>
      <c r="AN348" s="1"/>
      <c r="AO348" s="1"/>
      <c r="AQ348" s="1"/>
      <c r="AR348" s="1"/>
      <c r="AS348" s="1"/>
      <c r="AU348" s="1"/>
      <c r="AV348" s="1"/>
      <c r="AW348" s="1"/>
      <c r="AY348" s="1"/>
      <c r="AZ348" s="1"/>
      <c r="BA348" s="1"/>
      <c r="BC348" s="1"/>
      <c r="BD348" s="1"/>
      <c r="BE348" s="1"/>
      <c r="BG348" s="1"/>
      <c r="BH348" s="1"/>
      <c r="BI348" s="1"/>
      <c r="BK348" s="1"/>
      <c r="BL348" s="1"/>
      <c r="BM348" s="1"/>
    </row>
    <row r="349" spans="1:65" ht="12.75">
      <c r="A349" s="5"/>
      <c r="B349" s="5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M349" s="1"/>
      <c r="AN349" s="1"/>
      <c r="AO349" s="1"/>
      <c r="AQ349" s="1"/>
      <c r="AR349" s="1"/>
      <c r="AS349" s="1"/>
      <c r="AU349" s="1"/>
      <c r="AV349" s="1"/>
      <c r="AW349" s="1"/>
      <c r="AY349" s="1"/>
      <c r="AZ349" s="1"/>
      <c r="BA349" s="1"/>
      <c r="BC349" s="1"/>
      <c r="BD349" s="1"/>
      <c r="BE349" s="1"/>
      <c r="BG349" s="1"/>
      <c r="BH349" s="1"/>
      <c r="BI349" s="1"/>
      <c r="BK349" s="1"/>
      <c r="BL349" s="1"/>
      <c r="BM349" s="1"/>
    </row>
    <row r="350" spans="1:65" ht="12.75">
      <c r="A350" s="5"/>
      <c r="B350" s="5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M350" s="1"/>
      <c r="AN350" s="1"/>
      <c r="AO350" s="1"/>
      <c r="AQ350" s="1"/>
      <c r="AR350" s="1"/>
      <c r="AS350" s="1"/>
      <c r="AU350" s="1"/>
      <c r="AV350" s="1"/>
      <c r="AW350" s="1"/>
      <c r="AY350" s="1"/>
      <c r="AZ350" s="1"/>
      <c r="BA350" s="1"/>
      <c r="BC350" s="1"/>
      <c r="BD350" s="1"/>
      <c r="BE350" s="1"/>
      <c r="BG350" s="1"/>
      <c r="BH350" s="1"/>
      <c r="BI350" s="1"/>
      <c r="BK350" s="1"/>
      <c r="BL350" s="1"/>
      <c r="BM350" s="1"/>
    </row>
    <row r="351" spans="1:65" ht="12.75">
      <c r="A351" s="5"/>
      <c r="B351" s="5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M351" s="1"/>
      <c r="AN351" s="1"/>
      <c r="AO351" s="1"/>
      <c r="AQ351" s="1"/>
      <c r="AR351" s="1"/>
      <c r="AS351" s="1"/>
      <c r="AU351" s="1"/>
      <c r="AV351" s="1"/>
      <c r="AW351" s="1"/>
      <c r="AY351" s="1"/>
      <c r="AZ351" s="1"/>
      <c r="BA351" s="1"/>
      <c r="BC351" s="1"/>
      <c r="BD351" s="1"/>
      <c r="BE351" s="1"/>
      <c r="BG351" s="1"/>
      <c r="BH351" s="1"/>
      <c r="BI351" s="1"/>
      <c r="BK351" s="1"/>
      <c r="BL351" s="1"/>
      <c r="BM351" s="1"/>
    </row>
    <row r="352" spans="1:65" ht="12.75">
      <c r="A352" s="5"/>
      <c r="B352" s="5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M352" s="1"/>
      <c r="AN352" s="1"/>
      <c r="AO352" s="1"/>
      <c r="AQ352" s="1"/>
      <c r="AR352" s="1"/>
      <c r="AS352" s="1"/>
      <c r="AU352" s="1"/>
      <c r="AV352" s="1"/>
      <c r="AW352" s="1"/>
      <c r="AY352" s="1"/>
      <c r="AZ352" s="1"/>
      <c r="BA352" s="1"/>
      <c r="BC352" s="1"/>
      <c r="BD352" s="1"/>
      <c r="BE352" s="1"/>
      <c r="BG352" s="1"/>
      <c r="BH352" s="1"/>
      <c r="BI352" s="1"/>
      <c r="BK352" s="1"/>
      <c r="BL352" s="1"/>
      <c r="BM352" s="1"/>
    </row>
    <row r="353" spans="1:65" ht="12.75">
      <c r="A353" s="5"/>
      <c r="B353" s="5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M353" s="1"/>
      <c r="AN353" s="1"/>
      <c r="AO353" s="1"/>
      <c r="AQ353" s="1"/>
      <c r="AR353" s="1"/>
      <c r="AS353" s="1"/>
      <c r="AU353" s="1"/>
      <c r="AV353" s="1"/>
      <c r="AW353" s="1"/>
      <c r="AY353" s="1"/>
      <c r="AZ353" s="1"/>
      <c r="BA353" s="1"/>
      <c r="BC353" s="1"/>
      <c r="BD353" s="1"/>
      <c r="BE353" s="1"/>
      <c r="BG353" s="1"/>
      <c r="BH353" s="1"/>
      <c r="BI353" s="1"/>
      <c r="BK353" s="1"/>
      <c r="BL353" s="1"/>
      <c r="BM353" s="1"/>
    </row>
    <row r="354" spans="1:65" ht="12.75">
      <c r="A354" s="5"/>
      <c r="B354" s="5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M354" s="1"/>
      <c r="AN354" s="1"/>
      <c r="AO354" s="1"/>
      <c r="AQ354" s="1"/>
      <c r="AR354" s="1"/>
      <c r="AS354" s="1"/>
      <c r="AU354" s="1"/>
      <c r="AV354" s="1"/>
      <c r="AW354" s="1"/>
      <c r="AY354" s="1"/>
      <c r="AZ354" s="1"/>
      <c r="BA354" s="1"/>
      <c r="BC354" s="1"/>
      <c r="BD354" s="1"/>
      <c r="BE354" s="1"/>
      <c r="BG354" s="1"/>
      <c r="BH354" s="1"/>
      <c r="BI354" s="1"/>
      <c r="BK354" s="1"/>
      <c r="BL354" s="1"/>
      <c r="BM354" s="1"/>
    </row>
    <row r="355" spans="1:65" ht="12.75">
      <c r="A355" s="5"/>
      <c r="B355" s="5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M355" s="1"/>
      <c r="AN355" s="1"/>
      <c r="AO355" s="1"/>
      <c r="AQ355" s="1"/>
      <c r="AR355" s="1"/>
      <c r="AS355" s="1"/>
      <c r="AU355" s="1"/>
      <c r="AV355" s="1"/>
      <c r="AW355" s="1"/>
      <c r="AY355" s="1"/>
      <c r="AZ355" s="1"/>
      <c r="BA355" s="1"/>
      <c r="BC355" s="1"/>
      <c r="BD355" s="1"/>
      <c r="BE355" s="1"/>
      <c r="BG355" s="1"/>
      <c r="BH355" s="1"/>
      <c r="BI355" s="1"/>
      <c r="BK355" s="1"/>
      <c r="BL355" s="1"/>
      <c r="BM355" s="1"/>
    </row>
    <row r="356" spans="1:65" ht="12.75">
      <c r="A356" s="5"/>
      <c r="B356" s="5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M356" s="1"/>
      <c r="AN356" s="1"/>
      <c r="AO356" s="1"/>
      <c r="AQ356" s="1"/>
      <c r="AR356" s="1"/>
      <c r="AS356" s="1"/>
      <c r="AU356" s="1"/>
      <c r="AV356" s="1"/>
      <c r="AW356" s="1"/>
      <c r="AY356" s="1"/>
      <c r="AZ356" s="1"/>
      <c r="BA356" s="1"/>
      <c r="BC356" s="1"/>
      <c r="BD356" s="1"/>
      <c r="BE356" s="1"/>
      <c r="BG356" s="1"/>
      <c r="BH356" s="1"/>
      <c r="BI356" s="1"/>
      <c r="BK356" s="1"/>
      <c r="BL356" s="1"/>
      <c r="BM356" s="1"/>
    </row>
    <row r="357" spans="1:65" ht="12.75">
      <c r="A357" s="5"/>
      <c r="B357" s="5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M357" s="1"/>
      <c r="AN357" s="1"/>
      <c r="AO357" s="1"/>
      <c r="AQ357" s="1"/>
      <c r="AR357" s="1"/>
      <c r="AS357" s="1"/>
      <c r="AU357" s="1"/>
      <c r="AV357" s="1"/>
      <c r="AW357" s="1"/>
      <c r="AY357" s="1"/>
      <c r="AZ357" s="1"/>
      <c r="BA357" s="1"/>
      <c r="BC357" s="1"/>
      <c r="BD357" s="1"/>
      <c r="BE357" s="1"/>
      <c r="BG357" s="1"/>
      <c r="BH357" s="1"/>
      <c r="BI357" s="1"/>
      <c r="BK357" s="1"/>
      <c r="BL357" s="1"/>
      <c r="BM357" s="1"/>
    </row>
    <row r="358" spans="1:65" ht="12.75">
      <c r="A358" s="5"/>
      <c r="B358" s="5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M358" s="1"/>
      <c r="AN358" s="1"/>
      <c r="AO358" s="1"/>
      <c r="AQ358" s="1"/>
      <c r="AR358" s="1"/>
      <c r="AS358" s="1"/>
      <c r="AU358" s="1"/>
      <c r="AV358" s="1"/>
      <c r="AW358" s="1"/>
      <c r="AY358" s="1"/>
      <c r="AZ358" s="1"/>
      <c r="BA358" s="1"/>
      <c r="BC358" s="1"/>
      <c r="BD358" s="1"/>
      <c r="BE358" s="1"/>
      <c r="BG358" s="1"/>
      <c r="BH358" s="1"/>
      <c r="BI358" s="1"/>
      <c r="BK358" s="1"/>
      <c r="BL358" s="1"/>
      <c r="BM358" s="1"/>
    </row>
    <row r="359" spans="1:65" ht="12.75">
      <c r="A359" s="5"/>
      <c r="B359" s="5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M359" s="1"/>
      <c r="AN359" s="1"/>
      <c r="AO359" s="1"/>
      <c r="AQ359" s="1"/>
      <c r="AR359" s="1"/>
      <c r="AS359" s="1"/>
      <c r="AU359" s="1"/>
      <c r="AV359" s="1"/>
      <c r="AW359" s="1"/>
      <c r="AY359" s="1"/>
      <c r="AZ359" s="1"/>
      <c r="BA359" s="1"/>
      <c r="BC359" s="1"/>
      <c r="BD359" s="1"/>
      <c r="BE359" s="1"/>
      <c r="BG359" s="1"/>
      <c r="BH359" s="1"/>
      <c r="BI359" s="1"/>
      <c r="BK359" s="1"/>
      <c r="BL359" s="1"/>
      <c r="BM359" s="1"/>
    </row>
    <row r="360" spans="1:65" ht="12.75">
      <c r="A360" s="5"/>
      <c r="B360" s="5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M360" s="1"/>
      <c r="AN360" s="1"/>
      <c r="AO360" s="1"/>
      <c r="AQ360" s="1"/>
      <c r="AR360" s="1"/>
      <c r="AS360" s="1"/>
      <c r="AU360" s="1"/>
      <c r="AV360" s="1"/>
      <c r="AW360" s="1"/>
      <c r="AY360" s="1"/>
      <c r="AZ360" s="1"/>
      <c r="BA360" s="1"/>
      <c r="BC360" s="1"/>
      <c r="BD360" s="1"/>
      <c r="BE360" s="1"/>
      <c r="BG360" s="1"/>
      <c r="BH360" s="1"/>
      <c r="BI360" s="1"/>
      <c r="BK360" s="1"/>
      <c r="BL360" s="1"/>
      <c r="BM360" s="1"/>
    </row>
    <row r="361" spans="1:65" ht="12.75">
      <c r="A361" s="5"/>
      <c r="B361" s="5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M361" s="1"/>
      <c r="AN361" s="1"/>
      <c r="AO361" s="1"/>
      <c r="AQ361" s="1"/>
      <c r="AR361" s="1"/>
      <c r="AS361" s="1"/>
      <c r="AU361" s="1"/>
      <c r="AV361" s="1"/>
      <c r="AW361" s="1"/>
      <c r="AY361" s="1"/>
      <c r="AZ361" s="1"/>
      <c r="BA361" s="1"/>
      <c r="BC361" s="1"/>
      <c r="BD361" s="1"/>
      <c r="BE361" s="1"/>
      <c r="BG361" s="1"/>
      <c r="BH361" s="1"/>
      <c r="BI361" s="1"/>
      <c r="BK361" s="1"/>
      <c r="BL361" s="1"/>
      <c r="BM361" s="1"/>
    </row>
    <row r="362" spans="1:65" ht="12.75">
      <c r="A362" s="5"/>
      <c r="B362" s="5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M362" s="1"/>
      <c r="AN362" s="1"/>
      <c r="AO362" s="1"/>
      <c r="AQ362" s="1"/>
      <c r="AR362" s="1"/>
      <c r="AS362" s="1"/>
      <c r="AU362" s="1"/>
      <c r="AV362" s="1"/>
      <c r="AW362" s="1"/>
      <c r="AY362" s="1"/>
      <c r="AZ362" s="1"/>
      <c r="BA362" s="1"/>
      <c r="BC362" s="1"/>
      <c r="BD362" s="1"/>
      <c r="BE362" s="1"/>
      <c r="BG362" s="1"/>
      <c r="BH362" s="1"/>
      <c r="BI362" s="1"/>
      <c r="BK362" s="1"/>
      <c r="BL362" s="1"/>
      <c r="BM362" s="1"/>
    </row>
    <row r="363" spans="1:65" ht="12.75">
      <c r="A363" s="5"/>
      <c r="B363" s="5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M363" s="1"/>
      <c r="AN363" s="1"/>
      <c r="AO363" s="1"/>
      <c r="AQ363" s="1"/>
      <c r="AR363" s="1"/>
      <c r="AS363" s="1"/>
      <c r="AU363" s="1"/>
      <c r="AV363" s="1"/>
      <c r="AW363" s="1"/>
      <c r="AY363" s="1"/>
      <c r="AZ363" s="1"/>
      <c r="BA363" s="1"/>
      <c r="BC363" s="1"/>
      <c r="BD363" s="1"/>
      <c r="BE363" s="1"/>
      <c r="BG363" s="1"/>
      <c r="BH363" s="1"/>
      <c r="BI363" s="1"/>
      <c r="BK363" s="1"/>
      <c r="BL363" s="1"/>
      <c r="BM363" s="1"/>
    </row>
    <row r="364" spans="1:65" ht="12.75">
      <c r="A364" s="5"/>
      <c r="B364" s="5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M364" s="1"/>
      <c r="AN364" s="1"/>
      <c r="AO364" s="1"/>
      <c r="AQ364" s="1"/>
      <c r="AR364" s="1"/>
      <c r="AS364" s="1"/>
      <c r="AU364" s="1"/>
      <c r="AV364" s="1"/>
      <c r="AW364" s="1"/>
      <c r="AY364" s="1"/>
      <c r="AZ364" s="1"/>
      <c r="BA364" s="1"/>
      <c r="BC364" s="1"/>
      <c r="BD364" s="1"/>
      <c r="BE364" s="1"/>
      <c r="BG364" s="1"/>
      <c r="BH364" s="1"/>
      <c r="BI364" s="1"/>
      <c r="BK364" s="1"/>
      <c r="BL364" s="1"/>
      <c r="BM364" s="1"/>
    </row>
    <row r="365" spans="1:65" ht="12.75">
      <c r="A365" s="5"/>
      <c r="B365" s="5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M365" s="1"/>
      <c r="AN365" s="1"/>
      <c r="AO365" s="1"/>
      <c r="AQ365" s="1"/>
      <c r="AR365" s="1"/>
      <c r="AS365" s="1"/>
      <c r="AU365" s="1"/>
      <c r="AV365" s="1"/>
      <c r="AW365" s="1"/>
      <c r="AY365" s="1"/>
      <c r="AZ365" s="1"/>
      <c r="BA365" s="1"/>
      <c r="BC365" s="1"/>
      <c r="BD365" s="1"/>
      <c r="BE365" s="1"/>
      <c r="BG365" s="1"/>
      <c r="BH365" s="1"/>
      <c r="BI365" s="1"/>
      <c r="BK365" s="1"/>
      <c r="BL365" s="1"/>
      <c r="BM365" s="1"/>
    </row>
    <row r="366" spans="1:65" ht="12.75">
      <c r="A366" s="5"/>
      <c r="B366" s="5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M366" s="1"/>
      <c r="AN366" s="1"/>
      <c r="AO366" s="1"/>
      <c r="AQ366" s="1"/>
      <c r="AR366" s="1"/>
      <c r="AS366" s="1"/>
      <c r="AU366" s="1"/>
      <c r="AV366" s="1"/>
      <c r="AW366" s="1"/>
      <c r="AY366" s="1"/>
      <c r="AZ366" s="1"/>
      <c r="BA366" s="1"/>
      <c r="BC366" s="1"/>
      <c r="BD366" s="1"/>
      <c r="BE366" s="1"/>
      <c r="BG366" s="1"/>
      <c r="BH366" s="1"/>
      <c r="BI366" s="1"/>
      <c r="BK366" s="1"/>
      <c r="BL366" s="1"/>
      <c r="BM366" s="1"/>
    </row>
    <row r="367" spans="1:65" ht="12.75">
      <c r="A367" s="5"/>
      <c r="B367" s="5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M367" s="1"/>
      <c r="AN367" s="1"/>
      <c r="AO367" s="1"/>
      <c r="AQ367" s="1"/>
      <c r="AR367" s="1"/>
      <c r="AS367" s="1"/>
      <c r="AU367" s="1"/>
      <c r="AV367" s="1"/>
      <c r="AW367" s="1"/>
      <c r="AY367" s="1"/>
      <c r="AZ367" s="1"/>
      <c r="BA367" s="1"/>
      <c r="BC367" s="1"/>
      <c r="BD367" s="1"/>
      <c r="BE367" s="1"/>
      <c r="BG367" s="1"/>
      <c r="BH367" s="1"/>
      <c r="BI367" s="1"/>
      <c r="BK367" s="1"/>
      <c r="BL367" s="1"/>
      <c r="BM367" s="1"/>
    </row>
    <row r="368" spans="1:65" ht="12.75">
      <c r="A368" s="5"/>
      <c r="B368" s="5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M368" s="1"/>
      <c r="AN368" s="1"/>
      <c r="AO368" s="1"/>
      <c r="AQ368" s="1"/>
      <c r="AR368" s="1"/>
      <c r="AS368" s="1"/>
      <c r="AU368" s="1"/>
      <c r="AV368" s="1"/>
      <c r="AW368" s="1"/>
      <c r="AY368" s="1"/>
      <c r="AZ368" s="1"/>
      <c r="BA368" s="1"/>
      <c r="BC368" s="1"/>
      <c r="BD368" s="1"/>
      <c r="BE368" s="1"/>
      <c r="BG368" s="1"/>
      <c r="BH368" s="1"/>
      <c r="BI368" s="1"/>
      <c r="BK368" s="1"/>
      <c r="BL368" s="1"/>
      <c r="BM368" s="1"/>
    </row>
    <row r="369" spans="1:65" ht="12.75">
      <c r="A369" s="5"/>
      <c r="B369" s="5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M369" s="1"/>
      <c r="AN369" s="1"/>
      <c r="AO369" s="1"/>
      <c r="AQ369" s="1"/>
      <c r="AR369" s="1"/>
      <c r="AS369" s="1"/>
      <c r="AU369" s="1"/>
      <c r="AV369" s="1"/>
      <c r="AW369" s="1"/>
      <c r="AY369" s="1"/>
      <c r="AZ369" s="1"/>
      <c r="BA369" s="1"/>
      <c r="BC369" s="1"/>
      <c r="BD369" s="1"/>
      <c r="BE369" s="1"/>
      <c r="BG369" s="1"/>
      <c r="BH369" s="1"/>
      <c r="BI369" s="1"/>
      <c r="BK369" s="1"/>
      <c r="BL369" s="1"/>
      <c r="BM369" s="1"/>
    </row>
    <row r="370" spans="1:65" ht="12.75">
      <c r="A370" s="5"/>
      <c r="B370" s="5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M370" s="1"/>
      <c r="AN370" s="1"/>
      <c r="AO370" s="1"/>
      <c r="AQ370" s="1"/>
      <c r="AR370" s="1"/>
      <c r="AS370" s="1"/>
      <c r="AU370" s="1"/>
      <c r="AV370" s="1"/>
      <c r="AW370" s="1"/>
      <c r="AY370" s="1"/>
      <c r="AZ370" s="1"/>
      <c r="BA370" s="1"/>
      <c r="BC370" s="1"/>
      <c r="BD370" s="1"/>
      <c r="BE370" s="1"/>
      <c r="BG370" s="1"/>
      <c r="BH370" s="1"/>
      <c r="BI370" s="1"/>
      <c r="BK370" s="1"/>
      <c r="BL370" s="1"/>
      <c r="BM370" s="1"/>
    </row>
    <row r="371" spans="1:65" ht="12.75">
      <c r="A371" s="5"/>
      <c r="B371" s="5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M371" s="1"/>
      <c r="AN371" s="1"/>
      <c r="AO371" s="1"/>
      <c r="AQ371" s="1"/>
      <c r="AR371" s="1"/>
      <c r="AS371" s="1"/>
      <c r="AU371" s="1"/>
      <c r="AV371" s="1"/>
      <c r="AW371" s="1"/>
      <c r="AY371" s="1"/>
      <c r="AZ371" s="1"/>
      <c r="BA371" s="1"/>
      <c r="BC371" s="1"/>
      <c r="BD371" s="1"/>
      <c r="BE371" s="1"/>
      <c r="BG371" s="1"/>
      <c r="BH371" s="1"/>
      <c r="BI371" s="1"/>
      <c r="BK371" s="1"/>
      <c r="BL371" s="1"/>
      <c r="BM371" s="1"/>
    </row>
    <row r="372" spans="1:65" ht="12.75">
      <c r="A372" s="5"/>
      <c r="B372" s="5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M372" s="1"/>
      <c r="AN372" s="1"/>
      <c r="AO372" s="1"/>
      <c r="AQ372" s="1"/>
      <c r="AR372" s="1"/>
      <c r="AS372" s="1"/>
      <c r="AU372" s="1"/>
      <c r="AV372" s="1"/>
      <c r="AW372" s="1"/>
      <c r="AY372" s="1"/>
      <c r="AZ372" s="1"/>
      <c r="BA372" s="1"/>
      <c r="BC372" s="1"/>
      <c r="BD372" s="1"/>
      <c r="BE372" s="1"/>
      <c r="BG372" s="1"/>
      <c r="BH372" s="1"/>
      <c r="BI372" s="1"/>
      <c r="BK372" s="1"/>
      <c r="BL372" s="1"/>
      <c r="BM372" s="1"/>
    </row>
    <row r="373" spans="1:65" ht="12.75">
      <c r="A373" s="5"/>
      <c r="B373" s="5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M373" s="1"/>
      <c r="AN373" s="1"/>
      <c r="AO373" s="1"/>
      <c r="AQ373" s="1"/>
      <c r="AR373" s="1"/>
      <c r="AS373" s="1"/>
      <c r="AU373" s="1"/>
      <c r="AV373" s="1"/>
      <c r="AW373" s="1"/>
      <c r="AY373" s="1"/>
      <c r="AZ373" s="1"/>
      <c r="BA373" s="1"/>
      <c r="BC373" s="1"/>
      <c r="BD373" s="1"/>
      <c r="BE373" s="1"/>
      <c r="BG373" s="1"/>
      <c r="BH373" s="1"/>
      <c r="BI373" s="1"/>
      <c r="BK373" s="1"/>
      <c r="BL373" s="1"/>
      <c r="BM373" s="1"/>
    </row>
    <row r="374" spans="1:65" ht="12.75">
      <c r="A374" s="5"/>
      <c r="B374" s="5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M374" s="1"/>
      <c r="AN374" s="1"/>
      <c r="AO374" s="1"/>
      <c r="AQ374" s="1"/>
      <c r="AR374" s="1"/>
      <c r="AS374" s="1"/>
      <c r="AU374" s="1"/>
      <c r="AV374" s="1"/>
      <c r="AW374" s="1"/>
      <c r="AY374" s="1"/>
      <c r="AZ374" s="1"/>
      <c r="BA374" s="1"/>
      <c r="BC374" s="1"/>
      <c r="BD374" s="1"/>
      <c r="BE374" s="1"/>
      <c r="BG374" s="1"/>
      <c r="BH374" s="1"/>
      <c r="BI374" s="1"/>
      <c r="BK374" s="1"/>
      <c r="BL374" s="1"/>
      <c r="BM374" s="1"/>
    </row>
    <row r="375" spans="1:65" ht="12.75">
      <c r="A375" s="5"/>
      <c r="B375" s="5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M375" s="1"/>
      <c r="AN375" s="1"/>
      <c r="AO375" s="1"/>
      <c r="AQ375" s="1"/>
      <c r="AR375" s="1"/>
      <c r="AS375" s="1"/>
      <c r="AU375" s="1"/>
      <c r="AV375" s="1"/>
      <c r="AW375" s="1"/>
      <c r="AY375" s="1"/>
      <c r="AZ375" s="1"/>
      <c r="BA375" s="1"/>
      <c r="BC375" s="1"/>
      <c r="BD375" s="1"/>
      <c r="BE375" s="1"/>
      <c r="BG375" s="1"/>
      <c r="BH375" s="1"/>
      <c r="BI375" s="1"/>
      <c r="BK375" s="1"/>
      <c r="BL375" s="1"/>
      <c r="BM375" s="1"/>
    </row>
    <row r="376" spans="1:65" ht="12.75">
      <c r="A376" s="5"/>
      <c r="B376" s="5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M376" s="1"/>
      <c r="AN376" s="1"/>
      <c r="AO376" s="1"/>
      <c r="AQ376" s="1"/>
      <c r="AR376" s="1"/>
      <c r="AS376" s="1"/>
      <c r="AU376" s="1"/>
      <c r="AV376" s="1"/>
      <c r="AW376" s="1"/>
      <c r="AY376" s="1"/>
      <c r="AZ376" s="1"/>
      <c r="BA376" s="1"/>
      <c r="BC376" s="1"/>
      <c r="BD376" s="1"/>
      <c r="BE376" s="1"/>
      <c r="BG376" s="1"/>
      <c r="BH376" s="1"/>
      <c r="BI376" s="1"/>
      <c r="BK376" s="1"/>
      <c r="BL376" s="1"/>
      <c r="BM376" s="1"/>
    </row>
    <row r="377" spans="1:65" ht="12.75">
      <c r="A377" s="5"/>
      <c r="B377" s="5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M377" s="1"/>
      <c r="AN377" s="1"/>
      <c r="AO377" s="1"/>
      <c r="AQ377" s="1"/>
      <c r="AR377" s="1"/>
      <c r="AS377" s="1"/>
      <c r="AU377" s="1"/>
      <c r="AV377" s="1"/>
      <c r="AW377" s="1"/>
      <c r="AY377" s="1"/>
      <c r="AZ377" s="1"/>
      <c r="BA377" s="1"/>
      <c r="BC377" s="1"/>
      <c r="BD377" s="1"/>
      <c r="BE377" s="1"/>
      <c r="BG377" s="1"/>
      <c r="BH377" s="1"/>
      <c r="BI377" s="1"/>
      <c r="BK377" s="1"/>
      <c r="BL377" s="1"/>
      <c r="BM377" s="1"/>
    </row>
    <row r="378" spans="1:65" ht="12.75">
      <c r="A378" s="5"/>
      <c r="B378" s="5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M378" s="1"/>
      <c r="AN378" s="1"/>
      <c r="AO378" s="1"/>
      <c r="AQ378" s="1"/>
      <c r="AR378" s="1"/>
      <c r="AS378" s="1"/>
      <c r="AU378" s="1"/>
      <c r="AV378" s="1"/>
      <c r="AW378" s="1"/>
      <c r="AY378" s="1"/>
      <c r="AZ378" s="1"/>
      <c r="BA378" s="1"/>
      <c r="BC378" s="1"/>
      <c r="BD378" s="1"/>
      <c r="BE378" s="1"/>
      <c r="BG378" s="1"/>
      <c r="BH378" s="1"/>
      <c r="BI378" s="1"/>
      <c r="BK378" s="1"/>
      <c r="BL378" s="1"/>
      <c r="BM378" s="1"/>
    </row>
    <row r="379" spans="1:65" ht="12.75">
      <c r="A379" s="5"/>
      <c r="B379" s="5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M379" s="1"/>
      <c r="AN379" s="1"/>
      <c r="AO379" s="1"/>
      <c r="AQ379" s="1"/>
      <c r="AR379" s="1"/>
      <c r="AS379" s="1"/>
      <c r="AU379" s="1"/>
      <c r="AV379" s="1"/>
      <c r="AW379" s="1"/>
      <c r="AY379" s="1"/>
      <c r="AZ379" s="1"/>
      <c r="BA379" s="1"/>
      <c r="BC379" s="1"/>
      <c r="BD379" s="1"/>
      <c r="BE379" s="1"/>
      <c r="BG379" s="1"/>
      <c r="BH379" s="1"/>
      <c r="BI379" s="1"/>
      <c r="BK379" s="1"/>
      <c r="BL379" s="1"/>
      <c r="BM379" s="1"/>
    </row>
    <row r="380" spans="1:65" ht="12.75">
      <c r="A380" s="5"/>
      <c r="B380" s="5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M380" s="1"/>
      <c r="AN380" s="1"/>
      <c r="AO380" s="1"/>
      <c r="AQ380" s="1"/>
      <c r="AR380" s="1"/>
      <c r="AS380" s="1"/>
      <c r="AU380" s="1"/>
      <c r="AV380" s="1"/>
      <c r="AW380" s="1"/>
      <c r="AY380" s="1"/>
      <c r="AZ380" s="1"/>
      <c r="BA380" s="1"/>
      <c r="BC380" s="1"/>
      <c r="BD380" s="1"/>
      <c r="BE380" s="1"/>
      <c r="BG380" s="1"/>
      <c r="BH380" s="1"/>
      <c r="BI380" s="1"/>
      <c r="BK380" s="1"/>
      <c r="BL380" s="1"/>
      <c r="BM380" s="1"/>
    </row>
    <row r="381" spans="1:65" ht="12.75">
      <c r="A381" s="5"/>
      <c r="B381" s="5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M381" s="1"/>
      <c r="AN381" s="1"/>
      <c r="AO381" s="1"/>
      <c r="AQ381" s="1"/>
      <c r="AR381" s="1"/>
      <c r="AS381" s="1"/>
      <c r="AU381" s="1"/>
      <c r="AV381" s="1"/>
      <c r="AW381" s="1"/>
      <c r="AY381" s="1"/>
      <c r="AZ381" s="1"/>
      <c r="BA381" s="1"/>
      <c r="BC381" s="1"/>
      <c r="BD381" s="1"/>
      <c r="BE381" s="1"/>
      <c r="BG381" s="1"/>
      <c r="BH381" s="1"/>
      <c r="BI381" s="1"/>
      <c r="BK381" s="1"/>
      <c r="BL381" s="1"/>
      <c r="BM381" s="1"/>
    </row>
    <row r="382" spans="1:65" ht="12.75">
      <c r="A382" s="5"/>
      <c r="B382" s="5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M382" s="1"/>
      <c r="AN382" s="1"/>
      <c r="AO382" s="1"/>
      <c r="AQ382" s="1"/>
      <c r="AR382" s="1"/>
      <c r="AS382" s="1"/>
      <c r="AU382" s="1"/>
      <c r="AV382" s="1"/>
      <c r="AW382" s="1"/>
      <c r="AY382" s="1"/>
      <c r="AZ382" s="1"/>
      <c r="BA382" s="1"/>
      <c r="BC382" s="1"/>
      <c r="BD382" s="1"/>
      <c r="BE382" s="1"/>
      <c r="BG382" s="1"/>
      <c r="BH382" s="1"/>
      <c r="BI382" s="1"/>
      <c r="BK382" s="1"/>
      <c r="BL382" s="1"/>
      <c r="BM382" s="1"/>
    </row>
    <row r="383" spans="1:65" ht="12.75">
      <c r="A383" s="5"/>
      <c r="B383" s="5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M383" s="1"/>
      <c r="AN383" s="1"/>
      <c r="AO383" s="1"/>
      <c r="AQ383" s="1"/>
      <c r="AR383" s="1"/>
      <c r="AS383" s="1"/>
      <c r="AU383" s="1"/>
      <c r="AV383" s="1"/>
      <c r="AW383" s="1"/>
      <c r="AY383" s="1"/>
      <c r="AZ383" s="1"/>
      <c r="BA383" s="1"/>
      <c r="BC383" s="1"/>
      <c r="BD383" s="1"/>
      <c r="BE383" s="1"/>
      <c r="BG383" s="1"/>
      <c r="BH383" s="1"/>
      <c r="BI383" s="1"/>
      <c r="BK383" s="1"/>
      <c r="BL383" s="1"/>
      <c r="BM383" s="1"/>
    </row>
    <row r="384" spans="1:65" ht="12.75">
      <c r="A384" s="5"/>
      <c r="B384" s="5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M384" s="1"/>
      <c r="AN384" s="1"/>
      <c r="AO384" s="1"/>
      <c r="AQ384" s="1"/>
      <c r="AR384" s="1"/>
      <c r="AS384" s="1"/>
      <c r="AU384" s="1"/>
      <c r="AV384" s="1"/>
      <c r="AW384" s="1"/>
      <c r="AY384" s="1"/>
      <c r="AZ384" s="1"/>
      <c r="BA384" s="1"/>
      <c r="BC384" s="1"/>
      <c r="BD384" s="1"/>
      <c r="BE384" s="1"/>
      <c r="BG384" s="1"/>
      <c r="BH384" s="1"/>
      <c r="BI384" s="1"/>
      <c r="BK384" s="1"/>
      <c r="BL384" s="1"/>
      <c r="BM384" s="1"/>
    </row>
    <row r="385" spans="1:65" ht="12.75">
      <c r="A385" s="5"/>
      <c r="B385" s="5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M385" s="1"/>
      <c r="AN385" s="1"/>
      <c r="AO385" s="1"/>
      <c r="AQ385" s="1"/>
      <c r="AR385" s="1"/>
      <c r="AS385" s="1"/>
      <c r="AU385" s="1"/>
      <c r="AV385" s="1"/>
      <c r="AW385" s="1"/>
      <c r="AY385" s="1"/>
      <c r="AZ385" s="1"/>
      <c r="BA385" s="1"/>
      <c r="BC385" s="1"/>
      <c r="BD385" s="1"/>
      <c r="BE385" s="1"/>
      <c r="BG385" s="1"/>
      <c r="BH385" s="1"/>
      <c r="BI385" s="1"/>
      <c r="BK385" s="1"/>
      <c r="BL385" s="1"/>
      <c r="BM385" s="1"/>
    </row>
    <row r="386" spans="1:65" ht="12.75">
      <c r="A386" s="5"/>
      <c r="B386" s="5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M386" s="1"/>
      <c r="AN386" s="1"/>
      <c r="AO386" s="1"/>
      <c r="AQ386" s="1"/>
      <c r="AR386" s="1"/>
      <c r="AS386" s="1"/>
      <c r="AU386" s="1"/>
      <c r="AV386" s="1"/>
      <c r="AW386" s="1"/>
      <c r="AY386" s="1"/>
      <c r="AZ386" s="1"/>
      <c r="BA386" s="1"/>
      <c r="BC386" s="1"/>
      <c r="BD386" s="1"/>
      <c r="BE386" s="1"/>
      <c r="BG386" s="1"/>
      <c r="BH386" s="1"/>
      <c r="BI386" s="1"/>
      <c r="BK386" s="1"/>
      <c r="BL386" s="1"/>
      <c r="BM386" s="1"/>
    </row>
    <row r="387" spans="1:65" ht="12.75">
      <c r="A387" s="5"/>
      <c r="B387" s="5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M387" s="1"/>
      <c r="AN387" s="1"/>
      <c r="AO387" s="1"/>
      <c r="AQ387" s="1"/>
      <c r="AR387" s="1"/>
      <c r="AS387" s="1"/>
      <c r="AU387" s="1"/>
      <c r="AV387" s="1"/>
      <c r="AW387" s="1"/>
      <c r="AY387" s="1"/>
      <c r="AZ387" s="1"/>
      <c r="BA387" s="1"/>
      <c r="BC387" s="1"/>
      <c r="BD387" s="1"/>
      <c r="BE387" s="1"/>
      <c r="BG387" s="1"/>
      <c r="BH387" s="1"/>
      <c r="BI387" s="1"/>
      <c r="BK387" s="1"/>
      <c r="BL387" s="1"/>
      <c r="BM387" s="1"/>
    </row>
    <row r="388" spans="1:65" ht="12.75">
      <c r="A388" s="5"/>
      <c r="B388" s="5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M388" s="1"/>
      <c r="AN388" s="1"/>
      <c r="AO388" s="1"/>
      <c r="AQ388" s="1"/>
      <c r="AR388" s="1"/>
      <c r="AS388" s="1"/>
      <c r="AU388" s="1"/>
      <c r="AV388" s="1"/>
      <c r="AW388" s="1"/>
      <c r="AY388" s="1"/>
      <c r="AZ388" s="1"/>
      <c r="BA388" s="1"/>
      <c r="BC388" s="1"/>
      <c r="BD388" s="1"/>
      <c r="BE388" s="1"/>
      <c r="BG388" s="1"/>
      <c r="BH388" s="1"/>
      <c r="BI388" s="1"/>
      <c r="BK388" s="1"/>
      <c r="BL388" s="1"/>
      <c r="BM388" s="1"/>
    </row>
    <row r="389" spans="1:65" ht="12.75">
      <c r="A389" s="5"/>
      <c r="B389" s="5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M389" s="1"/>
      <c r="AN389" s="1"/>
      <c r="AO389" s="1"/>
      <c r="AQ389" s="1"/>
      <c r="AR389" s="1"/>
      <c r="AS389" s="1"/>
      <c r="AU389" s="1"/>
      <c r="AV389" s="1"/>
      <c r="AW389" s="1"/>
      <c r="AY389" s="1"/>
      <c r="AZ389" s="1"/>
      <c r="BA389" s="1"/>
      <c r="BC389" s="1"/>
      <c r="BD389" s="1"/>
      <c r="BE389" s="1"/>
      <c r="BG389" s="1"/>
      <c r="BH389" s="1"/>
      <c r="BI389" s="1"/>
      <c r="BK389" s="1"/>
      <c r="BL389" s="1"/>
      <c r="BM389" s="1"/>
    </row>
    <row r="390" spans="1:65" ht="12.75">
      <c r="A390" s="5"/>
      <c r="B390" s="5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M390" s="1"/>
      <c r="AN390" s="1"/>
      <c r="AO390" s="1"/>
      <c r="AQ390" s="1"/>
      <c r="AR390" s="1"/>
      <c r="AS390" s="1"/>
      <c r="AU390" s="1"/>
      <c r="AV390" s="1"/>
      <c r="AW390" s="1"/>
      <c r="AY390" s="1"/>
      <c r="AZ390" s="1"/>
      <c r="BA390" s="1"/>
      <c r="BC390" s="1"/>
      <c r="BD390" s="1"/>
      <c r="BE390" s="1"/>
      <c r="BG390" s="1"/>
      <c r="BH390" s="1"/>
      <c r="BI390" s="1"/>
      <c r="BK390" s="1"/>
      <c r="BL390" s="1"/>
      <c r="BM390" s="1"/>
    </row>
    <row r="391" spans="1:65" ht="12.75">
      <c r="A391" s="5"/>
      <c r="B391" s="5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M391" s="1"/>
      <c r="AN391" s="1"/>
      <c r="AO391" s="1"/>
      <c r="AQ391" s="1"/>
      <c r="AR391" s="1"/>
      <c r="AS391" s="1"/>
      <c r="AU391" s="1"/>
      <c r="AV391" s="1"/>
      <c r="AW391" s="1"/>
      <c r="AY391" s="1"/>
      <c r="AZ391" s="1"/>
      <c r="BA391" s="1"/>
      <c r="BC391" s="1"/>
      <c r="BD391" s="1"/>
      <c r="BE391" s="1"/>
      <c r="BG391" s="1"/>
      <c r="BH391" s="1"/>
      <c r="BI391" s="1"/>
      <c r="BK391" s="1"/>
      <c r="BL391" s="1"/>
      <c r="BM391" s="1"/>
    </row>
    <row r="392" spans="1:65" ht="12.75">
      <c r="A392" s="5"/>
      <c r="B392" s="5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M392" s="1"/>
      <c r="AN392" s="1"/>
      <c r="AO392" s="1"/>
      <c r="AQ392" s="1"/>
      <c r="AR392" s="1"/>
      <c r="AS392" s="1"/>
      <c r="AU392" s="1"/>
      <c r="AV392" s="1"/>
      <c r="AW392" s="1"/>
      <c r="AY392" s="1"/>
      <c r="AZ392" s="1"/>
      <c r="BA392" s="1"/>
      <c r="BC392" s="1"/>
      <c r="BD392" s="1"/>
      <c r="BE392" s="1"/>
      <c r="BG392" s="1"/>
      <c r="BH392" s="1"/>
      <c r="BI392" s="1"/>
      <c r="BK392" s="1"/>
      <c r="BL392" s="1"/>
      <c r="BM392" s="1"/>
    </row>
    <row r="393" spans="1:65" ht="12.75">
      <c r="A393" s="5"/>
      <c r="B393" s="5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M393" s="1"/>
      <c r="AN393" s="1"/>
      <c r="AO393" s="1"/>
      <c r="AQ393" s="1"/>
      <c r="AR393" s="1"/>
      <c r="AS393" s="1"/>
      <c r="AU393" s="1"/>
      <c r="AV393" s="1"/>
      <c r="AW393" s="1"/>
      <c r="AY393" s="1"/>
      <c r="AZ393" s="1"/>
      <c r="BA393" s="1"/>
      <c r="BC393" s="1"/>
      <c r="BD393" s="1"/>
      <c r="BE393" s="1"/>
      <c r="BG393" s="1"/>
      <c r="BH393" s="1"/>
      <c r="BI393" s="1"/>
      <c r="BK393" s="1"/>
      <c r="BL393" s="1"/>
      <c r="BM393" s="1"/>
    </row>
    <row r="394" spans="1:65" ht="12.75">
      <c r="A394" s="5"/>
      <c r="B394" s="5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M394" s="1"/>
      <c r="AN394" s="1"/>
      <c r="AO394" s="1"/>
      <c r="AQ394" s="1"/>
      <c r="AR394" s="1"/>
      <c r="AS394" s="1"/>
      <c r="AU394" s="1"/>
      <c r="AV394" s="1"/>
      <c r="AW394" s="1"/>
      <c r="AY394" s="1"/>
      <c r="AZ394" s="1"/>
      <c r="BA394" s="1"/>
      <c r="BC394" s="1"/>
      <c r="BD394" s="1"/>
      <c r="BE394" s="1"/>
      <c r="BG394" s="1"/>
      <c r="BH394" s="1"/>
      <c r="BI394" s="1"/>
      <c r="BK394" s="1"/>
      <c r="BL394" s="1"/>
      <c r="BM394" s="1"/>
    </row>
    <row r="395" spans="1:65" ht="12.75">
      <c r="A395" s="5"/>
      <c r="B395" s="5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M395" s="1"/>
      <c r="AN395" s="1"/>
      <c r="AO395" s="1"/>
      <c r="AQ395" s="1"/>
      <c r="AR395" s="1"/>
      <c r="AS395" s="1"/>
      <c r="AU395" s="1"/>
      <c r="AV395" s="1"/>
      <c r="AW395" s="1"/>
      <c r="AY395" s="1"/>
      <c r="AZ395" s="1"/>
      <c r="BA395" s="1"/>
      <c r="BC395" s="1"/>
      <c r="BD395" s="1"/>
      <c r="BE395" s="1"/>
      <c r="BG395" s="1"/>
      <c r="BH395" s="1"/>
      <c r="BI395" s="1"/>
      <c r="BK395" s="1"/>
      <c r="BL395" s="1"/>
      <c r="BM395" s="1"/>
    </row>
    <row r="396" spans="1:65" ht="12.75">
      <c r="A396" s="5"/>
      <c r="B396" s="5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M396" s="1"/>
      <c r="AN396" s="1"/>
      <c r="AO396" s="1"/>
      <c r="AQ396" s="1"/>
      <c r="AR396" s="1"/>
      <c r="AS396" s="1"/>
      <c r="AU396" s="1"/>
      <c r="AV396" s="1"/>
      <c r="AW396" s="1"/>
      <c r="AY396" s="1"/>
      <c r="AZ396" s="1"/>
      <c r="BA396" s="1"/>
      <c r="BC396" s="1"/>
      <c r="BD396" s="1"/>
      <c r="BE396" s="1"/>
      <c r="BG396" s="1"/>
      <c r="BH396" s="1"/>
      <c r="BI396" s="1"/>
      <c r="BK396" s="1"/>
      <c r="BL396" s="1"/>
      <c r="BM396" s="1"/>
    </row>
    <row r="397" spans="1:65" ht="12.75">
      <c r="A397" s="5"/>
      <c r="B397" s="5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M397" s="1"/>
      <c r="AN397" s="1"/>
      <c r="AO397" s="1"/>
      <c r="AQ397" s="1"/>
      <c r="AR397" s="1"/>
      <c r="AS397" s="1"/>
      <c r="AU397" s="1"/>
      <c r="AV397" s="1"/>
      <c r="AW397" s="1"/>
      <c r="AY397" s="1"/>
      <c r="AZ397" s="1"/>
      <c r="BA397" s="1"/>
      <c r="BC397" s="1"/>
      <c r="BD397" s="1"/>
      <c r="BE397" s="1"/>
      <c r="BG397" s="1"/>
      <c r="BH397" s="1"/>
      <c r="BI397" s="1"/>
      <c r="BK397" s="1"/>
      <c r="BL397" s="1"/>
      <c r="BM397" s="1"/>
    </row>
    <row r="398" spans="1:65" ht="12.75">
      <c r="A398" s="5"/>
      <c r="B398" s="5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M398" s="1"/>
      <c r="AN398" s="1"/>
      <c r="AO398" s="1"/>
      <c r="AQ398" s="1"/>
      <c r="AR398" s="1"/>
      <c r="AS398" s="1"/>
      <c r="AU398" s="1"/>
      <c r="AV398" s="1"/>
      <c r="AW398" s="1"/>
      <c r="AY398" s="1"/>
      <c r="AZ398" s="1"/>
      <c r="BA398" s="1"/>
      <c r="BC398" s="1"/>
      <c r="BD398" s="1"/>
      <c r="BE398" s="1"/>
      <c r="BG398" s="1"/>
      <c r="BH398" s="1"/>
      <c r="BI398" s="1"/>
      <c r="BK398" s="1"/>
      <c r="BL398" s="1"/>
      <c r="BM398" s="1"/>
    </row>
    <row r="399" spans="1:65" ht="12.75">
      <c r="A399" s="5"/>
      <c r="B399" s="5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M399" s="1"/>
      <c r="AN399" s="1"/>
      <c r="AO399" s="1"/>
      <c r="AQ399" s="1"/>
      <c r="AR399" s="1"/>
      <c r="AS399" s="1"/>
      <c r="AU399" s="1"/>
      <c r="AV399" s="1"/>
      <c r="AW399" s="1"/>
      <c r="AY399" s="1"/>
      <c r="AZ399" s="1"/>
      <c r="BA399" s="1"/>
      <c r="BC399" s="1"/>
      <c r="BD399" s="1"/>
      <c r="BE399" s="1"/>
      <c r="BG399" s="1"/>
      <c r="BH399" s="1"/>
      <c r="BI399" s="1"/>
      <c r="BK399" s="1"/>
      <c r="BL399" s="1"/>
      <c r="BM399" s="1"/>
    </row>
    <row r="400" spans="6:37" ht="12.7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7"/>
  <sheetViews>
    <sheetView workbookViewId="0" topLeftCell="A1">
      <selection activeCell="B5" sqref="B5"/>
    </sheetView>
  </sheetViews>
  <sheetFormatPr defaultColWidth="9.140625" defaultRowHeight="12.75"/>
  <cols>
    <col min="1" max="1" width="31.57421875" style="0" customWidth="1"/>
    <col min="2" max="2" width="16.28125" style="1" bestFit="1" customWidth="1"/>
    <col min="3" max="3" width="12.00390625" style="1" bestFit="1" customWidth="1"/>
    <col min="4" max="4" width="12.57421875" style="0" bestFit="1" customWidth="1"/>
    <col min="5" max="5" width="12.00390625" style="0" bestFit="1" customWidth="1"/>
    <col min="6" max="6" width="27.57421875" style="0" bestFit="1" customWidth="1"/>
    <col min="7" max="7" width="12.7109375" style="1" customWidth="1"/>
    <col min="8" max="8" width="27.57421875" style="0" bestFit="1" customWidth="1"/>
    <col min="9" max="9" width="12.7109375" style="0" bestFit="1" customWidth="1"/>
    <col min="10" max="10" width="20.28125" style="0" bestFit="1" customWidth="1"/>
    <col min="11" max="11" width="12.00390625" style="0" bestFit="1" customWidth="1"/>
    <col min="15" max="15" width="10.8515625" style="0" customWidth="1"/>
  </cols>
  <sheetData>
    <row r="1" spans="1:26" ht="18.75">
      <c r="A1" s="3" t="s">
        <v>34</v>
      </c>
      <c r="B1" s="5"/>
      <c r="C1" s="5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5"/>
      <c r="C2" s="5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5"/>
      <c r="C3" s="43" t="s">
        <v>137</v>
      </c>
      <c r="D3" s="43"/>
      <c r="E3" s="4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0</v>
      </c>
      <c r="B4" s="5"/>
      <c r="C4" s="39" t="s">
        <v>138</v>
      </c>
      <c r="D4" s="40" t="s">
        <v>139</v>
      </c>
      <c r="F4" s="6" t="s">
        <v>7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$B$6/$B$5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16</v>
      </c>
      <c r="G8" s="9">
        <f>10*LOG10(1+($G$5-1)^2/(4*$G$5)/$K$96)</f>
        <v>0.08199447503095506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10*LOG10(1-10^(-0.1*$G$8))</f>
        <v>-17.280929952175917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 t="s">
        <v>131</v>
      </c>
      <c r="B10" s="2">
        <v>0</v>
      </c>
      <c r="C10" s="41">
        <v>0</v>
      </c>
      <c r="D10" s="42">
        <f>B11</f>
        <v>20</v>
      </c>
      <c r="F10" s="7" t="s">
        <v>12</v>
      </c>
      <c r="G10" s="9">
        <f>10^(0.05*G9)</f>
        <v>0.13675823979570162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 t="s">
        <v>132</v>
      </c>
      <c r="B11" s="2">
        <v>20</v>
      </c>
      <c r="C11" s="41">
        <f>B10</f>
        <v>0</v>
      </c>
      <c r="D11" s="42" t="s">
        <v>141</v>
      </c>
      <c r="F11" s="7" t="s">
        <v>8</v>
      </c>
      <c r="G11" s="9">
        <f>(1+G10)/(1-G10)</f>
        <v>1.316848062965202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5"/>
      <c r="C12" s="5"/>
      <c r="D12" s="4"/>
      <c r="E12" s="4"/>
      <c r="F12" s="7"/>
      <c r="G12" s="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5"/>
      <c r="C13" s="5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6" t="s">
        <v>61</v>
      </c>
      <c r="B14" s="5"/>
      <c r="C14" s="5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8" t="s">
        <v>18</v>
      </c>
      <c r="B15" s="8" t="s">
        <v>19</v>
      </c>
      <c r="C15" s="5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>
        <v>1</v>
      </c>
      <c r="B16" s="9">
        <f>IF($B$7&gt;8,"ERROR",IF($B$7&lt;1,"N/A",IF($B$7=1,SQRT($B$5*$B$6),$B$5*E68)))</f>
        <v>120.39014311747334</v>
      </c>
      <c r="C16" s="5"/>
      <c r="D16" s="4"/>
      <c r="E16" s="4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>
        <v>2</v>
      </c>
      <c r="B17" s="9">
        <f>IF($B$7&gt;8,"ERROR",IF($B$7&lt;2,"N/A",IF($B$7&gt;1,$B$5*E69,$B$6)))</f>
        <v>138.72569953212155</v>
      </c>
      <c r="C17" s="5"/>
      <c r="D17" s="4"/>
      <c r="E17" s="4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>
        <v>3</v>
      </c>
      <c r="B18" s="9">
        <f>IF($B$7&gt;8,"ERROR",IF($B$7&lt;3,"N/A",IF($B$7&gt;1,$B$5*E70,"N/A")))</f>
        <v>165.35620218045366</v>
      </c>
      <c r="C18" s="5"/>
      <c r="D18" s="4"/>
      <c r="E18" s="4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>
        <v>4</v>
      </c>
      <c r="B19" s="9">
        <f>IF($B$7&gt;8,"ERROR",IF($B$7&lt;4,"N/A",IF($B$7&gt;2,$B$5*E71,"N/A")))</f>
        <v>201.6626143660471</v>
      </c>
      <c r="C19" s="5"/>
      <c r="D19" s="4"/>
      <c r="E19" s="4"/>
      <c r="F19" s="4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>
        <v>5</v>
      </c>
      <c r="B20" s="9">
        <f>IF($B$7&gt;8,"ERROR",IF($B$7&lt;5,"N/A",IF($B$7&gt;3,$B$5*E72,"N/A")))</f>
        <v>247.9388663941584</v>
      </c>
      <c r="C20" s="5"/>
      <c r="D20" s="4"/>
      <c r="E20" s="4"/>
      <c r="F20" s="4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>
        <v>6</v>
      </c>
      <c r="B21" s="9">
        <f>IF($B$7&gt;8,"ERROR",IF($B$7&lt;6,"N/A",IF($B$7&gt;4,$B$5*E73,"N/A")))</f>
        <v>302.3775300876523</v>
      </c>
      <c r="C21" s="5"/>
      <c r="D21" s="4"/>
      <c r="E21" s="4"/>
      <c r="F21" s="4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>
        <v>7</v>
      </c>
      <c r="B22" s="9">
        <f>IF($B$7&gt;8,"ERROR",IF($B$7&lt;7,"N/A",IF($B$7&gt;5,$B$5*E74,"N/A")))</f>
        <v>360.42348439138834</v>
      </c>
      <c r="C22" s="5"/>
      <c r="D22" s="4"/>
      <c r="E22" s="4"/>
      <c r="F22" s="4"/>
      <c r="G22" s="12"/>
      <c r="H22" s="1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>
        <v>8</v>
      </c>
      <c r="B23" s="9">
        <f>IF($B$7&gt;8,"ERROR",IF($B$7&lt;8,"N/A",IF($B$7&gt;6,$B$5*E75,"N/A")))</f>
        <v>415.3163930639358</v>
      </c>
      <c r="C23" s="5"/>
      <c r="D23" s="4"/>
      <c r="E23" s="4"/>
      <c r="F23" s="4"/>
      <c r="G23" s="12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5"/>
      <c r="C24" s="5"/>
      <c r="D24" s="4"/>
      <c r="E24" s="4"/>
      <c r="F24" s="9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5"/>
      <c r="C25" s="5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5"/>
      <c r="C26" s="5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5"/>
      <c r="C27" s="5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5"/>
      <c r="C28" s="5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5"/>
      <c r="C29" s="5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5"/>
      <c r="C30" s="5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5"/>
      <c r="C31" s="5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7"/>
      <c r="B32" s="5"/>
      <c r="C32" s="5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5"/>
      <c r="C33" s="5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5"/>
      <c r="C34" s="5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5"/>
      <c r="C35" s="5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5"/>
      <c r="C36" s="5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5"/>
      <c r="C37" s="5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5"/>
      <c r="C38" s="5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5"/>
      <c r="C39" s="5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5"/>
      <c r="C40" s="5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5"/>
      <c r="C41" s="5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5"/>
      <c r="C42" s="5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5"/>
      <c r="C43" s="5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5"/>
      <c r="C44" s="5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5"/>
      <c r="C45" s="5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5"/>
      <c r="C46" s="5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5"/>
      <c r="C47" s="5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5"/>
      <c r="C48" s="5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5"/>
      <c r="C49" s="5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5"/>
      <c r="C50" s="5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5"/>
      <c r="C51" s="5"/>
      <c r="D51" s="4"/>
      <c r="E51" s="4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5"/>
      <c r="C52" s="5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5"/>
      <c r="C53" s="5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5"/>
      <c r="C54" s="5"/>
      <c r="D54" s="4"/>
      <c r="E54" s="4"/>
      <c r="F54" s="4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5"/>
      <c r="C55" s="5"/>
      <c r="D55" s="4"/>
      <c r="E55" s="4"/>
      <c r="F55" s="4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5"/>
      <c r="C56" s="5"/>
      <c r="D56" s="4"/>
      <c r="E56" s="4"/>
      <c r="F56" s="4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5"/>
      <c r="C57" s="5"/>
      <c r="D57" s="4"/>
      <c r="E57" s="4"/>
      <c r="F57" s="4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5"/>
      <c r="C58" s="5"/>
      <c r="D58" s="4"/>
      <c r="E58" s="4"/>
      <c r="F58" s="4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5"/>
      <c r="C59" s="5"/>
      <c r="D59" s="4"/>
      <c r="E59" s="4"/>
      <c r="F59" s="4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5"/>
      <c r="C60" s="5"/>
      <c r="D60" s="4"/>
      <c r="E60" s="4"/>
      <c r="F60" s="4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5"/>
      <c r="C61" s="5"/>
      <c r="D61" s="4"/>
      <c r="E61" s="4"/>
      <c r="F61" s="4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5"/>
      <c r="C62" s="5"/>
      <c r="D62" s="4"/>
      <c r="E62" s="4"/>
      <c r="F62" s="4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5"/>
      <c r="C63" s="5"/>
      <c r="D63" s="4"/>
      <c r="E63" s="4"/>
      <c r="F63" s="4"/>
      <c r="G63" s="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5"/>
      <c r="C64" s="5"/>
      <c r="D64" s="4"/>
      <c r="E64" s="4"/>
      <c r="F64" s="4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5"/>
      <c r="C65" s="5"/>
      <c r="D65" s="4"/>
      <c r="E65" s="4"/>
      <c r="F65" s="4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5"/>
      <c r="C66" s="5"/>
      <c r="D66" s="4"/>
      <c r="E66" s="4"/>
      <c r="F66" s="4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>
      <c r="A67" s="8" t="s">
        <v>18</v>
      </c>
      <c r="B67" s="10" t="s">
        <v>22</v>
      </c>
      <c r="C67" s="11" t="s">
        <v>20</v>
      </c>
      <c r="D67" s="8" t="s">
        <v>21</v>
      </c>
      <c r="E67" s="8" t="s">
        <v>23</v>
      </c>
      <c r="F67" s="4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>
        <v>1</v>
      </c>
      <c r="B68" s="5">
        <v>1</v>
      </c>
      <c r="C68" s="5">
        <f aca="true" t="shared" si="0" ref="C68:C76">$B$85*B68/$B$84</f>
        <v>0.08059093073468719</v>
      </c>
      <c r="D68" s="4">
        <f>10^C68</f>
        <v>1.2039014311747334</v>
      </c>
      <c r="E68" s="4">
        <f>IF($B$7&gt;8,"ERROR",IF($B$7=1,SQRT($G$5),D68))</f>
        <v>1.2039014311747334</v>
      </c>
      <c r="F68" s="4"/>
      <c r="G68" s="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>
        <v>2</v>
      </c>
      <c r="B69" s="5">
        <f>$B$7*$K$97^2</f>
        <v>0.7639320225002104</v>
      </c>
      <c r="C69" s="5">
        <f t="shared" si="0"/>
        <v>0.06156599271132396</v>
      </c>
      <c r="D69" s="4">
        <f>10^C69</f>
        <v>1.15230114309904</v>
      </c>
      <c r="E69" s="4">
        <f>IF($B$7&gt;8,"ERROR",IF($B$7&gt;1,E68*D69,$G$5))</f>
        <v>1.3872569953212155</v>
      </c>
      <c r="F69" s="4"/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>
        <v>3</v>
      </c>
      <c r="B70" s="5">
        <f>IF($B$7=8,4*$K$97^2*(2+5*$K$97^2),IF($B$7=7,7*$K$97^2*(1+2*$K$97^2),IF($B$7=6,3*$K$97^2*(2+3*$K$97^2),IF($B$7=5,5*$K$97^2*(1+$K$97^2),IF($B$7=4,2*$K$97^2*(2+$K$97^2),0)))))</f>
        <v>0.9463045646881048</v>
      </c>
      <c r="C70" s="5">
        <f t="shared" si="0"/>
        <v>0.07626356562669737</v>
      </c>
      <c r="D70" s="4">
        <f aca="true" t="shared" si="1" ref="D70:D75">10^C70</f>
        <v>1.1919651711121189</v>
      </c>
      <c r="E70" s="4">
        <f>IF($B$7&gt;8,"ERROR",IF($B$7=3,E69*D69,IF($B$7&gt;3,E69*D70,IF($B$7=2,E69*D68,"N/A"))))</f>
        <v>1.6535620218045366</v>
      </c>
      <c r="F70" s="4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>
        <v>4</v>
      </c>
      <c r="B71" s="5">
        <f>IF($B$7=8,8*$K$97^2*(1+4*$K$97^2+2*$K$97^4),IF($B$7=7,7*$K$97^2*(1+3*$K$97^2+$K$97^4),IF($B$7=6,2*$K$97^2*(3+6*$K$97^2+$K$97^4),0)))</f>
        <v>1.0696601125010516</v>
      </c>
      <c r="C71" s="5">
        <f t="shared" si="0"/>
        <v>0.08620490403622996</v>
      </c>
      <c r="D71" s="4">
        <f t="shared" si="1"/>
        <v>1.2195648648604795</v>
      </c>
      <c r="E71" s="4">
        <f>IF($B$7&gt;8,"ERROR",IF($B$7=8,E70*D71,IF($B$7=7,E70*D71,IF($B$7=6,E70*D71,IF($B$7=5,E70*D70,IF($B$7=4,E70*D69,IF($B$7=3,E70*D68,"N/A")))))))</f>
        <v>2.016626143660471</v>
      </c>
      <c r="F71" s="4"/>
      <c r="G71" s="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>
        <v>5</v>
      </c>
      <c r="B72" s="5">
        <f>IF($B$7=8,2*$K$97^2*(4+18*$K$97^2+12*$K$97^4+$K$97^6),0)</f>
        <v>1.1132669309094563</v>
      </c>
      <c r="C72" s="5">
        <f t="shared" si="0"/>
        <v>0.08971921811814179</v>
      </c>
      <c r="D72" s="4">
        <f t="shared" si="1"/>
        <v>1.2294736293764055</v>
      </c>
      <c r="E72" s="4">
        <f>IF($B$7&gt;8,"ERROR",IF($B$7=8,E71*D72,IF($B$7=7,E71*D71,IF($B$7=6,E71*D70,IF($B$7=5,E71*D69,IF($B$7=4,E71*D68,"N/A"))))))</f>
        <v>2.479388663941584</v>
      </c>
      <c r="F72" s="4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>
        <v>6</v>
      </c>
      <c r="B73" s="5">
        <f>IF($B$7=8,8*$K$97^2*(1+4*$K$97^2+2*$K$97^4),IF($B$7=7,7*$K$97^2*(1+3*$K$97^2+$K$97^4),IF($B$7=6,2*$K$97^2*(3+6*$K$97^2+$K$97^4),0)))</f>
        <v>1.0696601125010516</v>
      </c>
      <c r="C73" s="5">
        <f t="shared" si="0"/>
        <v>0.08620490403622996</v>
      </c>
      <c r="D73" s="4">
        <f t="shared" si="1"/>
        <v>1.2195648648604795</v>
      </c>
      <c r="E73" s="4">
        <f>IF($B$7&gt;8,"ERROR",IF($B$7=8,E72*D73,IF($B$7=7,E72*D70,IF($B$7=6,E72*D69,IF($B$7=5,E72*D68,"N/A")))))</f>
        <v>3.023775300876523</v>
      </c>
      <c r="F73" s="4"/>
      <c r="G73" s="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>
        <v>7</v>
      </c>
      <c r="B74" s="5">
        <f>IF($B$7=8,4*$K$97^2*(2+5*$K$97^2),IF($B$7=7,7*$K$97^2*(1+2*$K$97^2),IF($B$7=6,3*$K$97^2*(2+3*$K$97^2),IF($B$7=5,5*$K$97^2*(1+$K$97^2),IF($B$7=4,2*$K$97^2*(2+$K$97^2),0)))))</f>
        <v>0.9463045646881048</v>
      </c>
      <c r="C74" s="5">
        <f t="shared" si="0"/>
        <v>0.07626356562669737</v>
      </c>
      <c r="D74" s="4">
        <f t="shared" si="1"/>
        <v>1.1919651711121189</v>
      </c>
      <c r="E74" s="4">
        <f>IF($B$7&gt;8,"ERROR",IF($B$7=8,E73*D74,IF($B$7=7,E73*D69,IF($B$7=6,E73*D68,"N/A"))))</f>
        <v>3.604234843913883</v>
      </c>
      <c r="F74" s="4"/>
      <c r="G74" s="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>
        <v>8</v>
      </c>
      <c r="B75" s="5">
        <f>$B$7*$K$97^2</f>
        <v>0.7639320225002104</v>
      </c>
      <c r="C75" s="5">
        <f t="shared" si="0"/>
        <v>0.06156599271132396</v>
      </c>
      <c r="D75" s="4">
        <f t="shared" si="1"/>
        <v>1.15230114309904</v>
      </c>
      <c r="E75" s="4">
        <f>IF($B$7&gt;8,"ERROR",IF($B$7=8,E74*D75,IF($B$7=7,E74*D68,"N/A")))</f>
        <v>4.153163930639358</v>
      </c>
      <c r="F75" s="4"/>
      <c r="G75" s="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>
        <v>9</v>
      </c>
      <c r="B76" s="5">
        <v>1</v>
      </c>
      <c r="C76" s="5">
        <f t="shared" si="0"/>
        <v>0.08059093073468719</v>
      </c>
      <c r="D76" s="4">
        <f>10^C76</f>
        <v>1.2039014311747334</v>
      </c>
      <c r="E76" s="4">
        <f>IF($B$7&gt;8,"ERROR",IF($B$7=8,E75*D76,"N/A"))</f>
        <v>5.0000000000000036</v>
      </c>
      <c r="F76" s="4"/>
      <c r="G76" s="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5"/>
      <c r="C77" s="5"/>
      <c r="D77" s="4"/>
      <c r="E77" s="4"/>
      <c r="F77" s="4"/>
      <c r="G77" s="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5"/>
      <c r="C78" s="5"/>
      <c r="D78" s="4"/>
      <c r="E78" s="4"/>
      <c r="F78" s="4"/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5"/>
      <c r="C79" s="5"/>
      <c r="D79" s="4"/>
      <c r="E79" s="4"/>
      <c r="F79" s="4"/>
      <c r="G79" s="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5"/>
      <c r="C80" s="5"/>
      <c r="D80" s="4"/>
      <c r="E80" s="4"/>
      <c r="F80" s="4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5"/>
      <c r="C81" s="5"/>
      <c r="D81" s="4"/>
      <c r="E81" s="4"/>
      <c r="F81" s="4"/>
      <c r="G81" s="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5"/>
      <c r="C82" s="5"/>
      <c r="D82" s="4"/>
      <c r="E82" s="4"/>
      <c r="F82" s="4"/>
      <c r="G82" s="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5"/>
      <c r="C83" s="5"/>
      <c r="D83" s="4"/>
      <c r="E83" s="4"/>
      <c r="F83" s="4"/>
      <c r="G83" s="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5">
        <f>IF($B$7=8,SUM(B68:B76),IF($B$7=7,B68*2+B69*2+B70*2+B71*2,IF($B$7=6,B68*2+B69*2+B70*2+B71,IF($B$7=5,B68*2+B69*2+B70*2,IF($B$7=4,B68*2+B69*2+B70,IF($B$7=3,B68*2+B69*2,IF($B$7=2,B68*2+B69,1)))))))</f>
        <v>8.673060330288191</v>
      </c>
      <c r="C84" s="5"/>
      <c r="D84" s="4"/>
      <c r="E84" s="4"/>
      <c r="F84" s="4"/>
      <c r="G84" s="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5">
        <f>LOG10($G$5)</f>
        <v>0.6989700043360189</v>
      </c>
      <c r="C85" s="5"/>
      <c r="D85" s="4"/>
      <c r="E85" s="4"/>
      <c r="F85" s="4"/>
      <c r="G85" s="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5"/>
      <c r="C86" s="5"/>
      <c r="D86" s="4"/>
      <c r="E86" s="4"/>
      <c r="F86" s="4"/>
      <c r="G86" s="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5"/>
      <c r="C87" s="5"/>
      <c r="D87" s="4"/>
      <c r="E87" s="5">
        <f>IF($D87/$K$95&lt;1,(COS($B$7*ACOS($D87/$K$95)))^2,(COSH($B$7*ACOSH($D87/$K$95)))^2)</f>
        <v>1</v>
      </c>
      <c r="F87" s="4"/>
      <c r="G87" s="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5"/>
      <c r="C88" s="5"/>
      <c r="D88" s="4"/>
      <c r="E88" s="4"/>
      <c r="F88" s="4"/>
      <c r="G88" s="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>
      <c r="A89" s="8" t="s">
        <v>24</v>
      </c>
      <c r="B89" s="11" t="s">
        <v>38</v>
      </c>
      <c r="C89" s="10" t="s">
        <v>32</v>
      </c>
      <c r="D89" s="8" t="s">
        <v>29</v>
      </c>
      <c r="E89" s="15" t="s">
        <v>28</v>
      </c>
      <c r="F89" s="8" t="s">
        <v>25</v>
      </c>
      <c r="G89" s="11" t="s">
        <v>26</v>
      </c>
      <c r="H89" s="8" t="s">
        <v>27</v>
      </c>
      <c r="I89" s="8"/>
      <c r="J89" s="8" t="s">
        <v>43</v>
      </c>
      <c r="K89" s="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5">
        <v>1</v>
      </c>
      <c r="B90" s="5">
        <f>$B$10+0.01*($B$11-$B$10)*(A90-1)</f>
        <v>0</v>
      </c>
      <c r="C90" s="5">
        <f aca="true" t="shared" si="2" ref="C90:C121">PI()/2*B90/$G$6</f>
        <v>0</v>
      </c>
      <c r="D90" s="4">
        <f>COS(C90)</f>
        <v>1</v>
      </c>
      <c r="E90" s="5">
        <f aca="true" t="shared" si="3" ref="E90:E154">IF(ABS($D90/$K$95)&lt;1,(COS($B$7*ACOS($D90/$K$95)))^2,IF(ABS($D90/$K$95)&gt;1,(COSH($B$7*ACOSH(ABS($D90/$K$95))))^2,1))</f>
        <v>41.974307007966736</v>
      </c>
      <c r="F90" s="4">
        <f aca="true" t="shared" si="4" ref="F90:F121">-$E90*$G$8</f>
        <v>-3.4416612679063703</v>
      </c>
      <c r="G90" s="5">
        <f aca="true" t="shared" si="5" ref="G90:G121">10*LOG10(1-10^(0.1*MIN(-0.000001,$F90)))</f>
        <v>-2.617938905463167</v>
      </c>
      <c r="H90" s="4">
        <f aca="true" t="shared" si="6" ref="H90:H121">(1+10^(0.05*$G90))/(1-10^(0.05*$G90))</f>
        <v>6.685827903913813</v>
      </c>
      <c r="I90" s="4"/>
      <c r="J90" s="7" t="s">
        <v>37</v>
      </c>
      <c r="K90" s="5">
        <f>$B$8</f>
        <v>2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>
      <c r="A91" s="5">
        <v>2</v>
      </c>
      <c r="B91" s="5">
        <f aca="true" t="shared" si="7" ref="B91:B154">$B$10+0.01*($B$11-$B$10)*(A91-1)</f>
        <v>0.2</v>
      </c>
      <c r="C91" s="5">
        <f t="shared" si="2"/>
        <v>0.031415926535897934</v>
      </c>
      <c r="D91" s="4">
        <f aca="true" t="shared" si="8" ref="D91:D154">COS(C91)</f>
        <v>0.9995065603657316</v>
      </c>
      <c r="E91" s="5">
        <f t="shared" si="3"/>
        <v>40.92550216706497</v>
      </c>
      <c r="F91" s="4">
        <f t="shared" si="4"/>
        <v>-3.3556650655667055</v>
      </c>
      <c r="G91" s="5">
        <f t="shared" si="5"/>
        <v>-2.69038773064013</v>
      </c>
      <c r="H91" s="4">
        <f t="shared" si="6"/>
        <v>6.5085211806730925</v>
      </c>
      <c r="I91" s="4"/>
      <c r="J91" s="7" t="s">
        <v>4</v>
      </c>
      <c r="K91" s="5">
        <f>299792458/$G$6</f>
        <v>29979245.8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>
      <c r="A92" s="5">
        <v>3</v>
      </c>
      <c r="B92" s="5">
        <f t="shared" si="7"/>
        <v>0.4</v>
      </c>
      <c r="C92" s="5">
        <f t="shared" si="2"/>
        <v>0.06283185307179587</v>
      </c>
      <c r="D92" s="4">
        <f t="shared" si="8"/>
        <v>0.9980267284282716</v>
      </c>
      <c r="E92" s="5">
        <f t="shared" si="3"/>
        <v>37.9061413398797</v>
      </c>
      <c r="F92" s="4">
        <f t="shared" si="4"/>
        <v>-3.1080941596126195</v>
      </c>
      <c r="G92" s="5">
        <f t="shared" si="5"/>
        <v>-2.914659470109997</v>
      </c>
      <c r="H92" s="4">
        <f t="shared" si="6"/>
        <v>6.015962685674351</v>
      </c>
      <c r="I92" s="4"/>
      <c r="J92" s="7" t="s">
        <v>5</v>
      </c>
      <c r="K92" s="5">
        <f>299792458/$B$8</f>
        <v>149896229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5">
        <v>4</v>
      </c>
      <c r="B93" s="5">
        <f t="shared" si="7"/>
        <v>0.6000000000000001</v>
      </c>
      <c r="C93" s="5">
        <f t="shared" si="2"/>
        <v>0.0942477796076938</v>
      </c>
      <c r="D93" s="4">
        <f t="shared" si="8"/>
        <v>0.99556196460308</v>
      </c>
      <c r="E93" s="5">
        <f t="shared" si="3"/>
        <v>33.27653439578512</v>
      </c>
      <c r="F93" s="4">
        <f t="shared" si="4"/>
        <v>-2.72849196863192</v>
      </c>
      <c r="G93" s="5">
        <f t="shared" si="5"/>
        <v>-3.311670845016516</v>
      </c>
      <c r="H93" s="4">
        <f t="shared" si="6"/>
        <v>5.309015369671403</v>
      </c>
      <c r="I93" s="4"/>
      <c r="J93" s="7" t="s">
        <v>31</v>
      </c>
      <c r="K93" s="5">
        <f>0.5*PI()*$K$91/$K$92</f>
        <v>0.3141592653589793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5">
        <v>5</v>
      </c>
      <c r="B94" s="5">
        <f t="shared" si="7"/>
        <v>0.8</v>
      </c>
      <c r="C94" s="5">
        <f t="shared" si="2"/>
        <v>0.12566370614359174</v>
      </c>
      <c r="D94" s="4">
        <f t="shared" si="8"/>
        <v>0.9921147013144779</v>
      </c>
      <c r="E94" s="5">
        <f t="shared" si="3"/>
        <v>27.571670938993297</v>
      </c>
      <c r="F94" s="4">
        <f t="shared" si="4"/>
        <v>-2.260724684368995</v>
      </c>
      <c r="G94" s="5">
        <f t="shared" si="5"/>
        <v>-3.9168046635550766</v>
      </c>
      <c r="H94" s="4">
        <f t="shared" si="6"/>
        <v>4.510094615437535</v>
      </c>
      <c r="I94" s="4"/>
      <c r="J94" s="7" t="s">
        <v>30</v>
      </c>
      <c r="K94" s="5">
        <f>COS($K$93)</f>
        <v>0.9510565162951535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>
      <c r="A95" s="5">
        <v>6</v>
      </c>
      <c r="B95" s="5">
        <f t="shared" si="7"/>
        <v>1</v>
      </c>
      <c r="C95" s="5">
        <f t="shared" si="2"/>
        <v>0.15707963267948966</v>
      </c>
      <c r="D95" s="4">
        <f t="shared" si="8"/>
        <v>0.9876883405951378</v>
      </c>
      <c r="E95" s="5">
        <f t="shared" si="3"/>
        <v>21.416023948187885</v>
      </c>
      <c r="F95" s="4">
        <f t="shared" si="4"/>
        <v>-1.755995640882027</v>
      </c>
      <c r="G95" s="5">
        <f t="shared" si="5"/>
        <v>-4.7810631785866695</v>
      </c>
      <c r="H95" s="4">
        <f t="shared" si="6"/>
        <v>3.7247353788270283</v>
      </c>
      <c r="I95" s="4"/>
      <c r="J95" s="7" t="s">
        <v>14</v>
      </c>
      <c r="K95" s="5">
        <f>SIN(PI()*$G$7/4)</f>
        <v>0.9510565162951535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>
      <c r="A96" s="5">
        <v>7</v>
      </c>
      <c r="B96" s="5">
        <f t="shared" si="7"/>
        <v>1.2000000000000002</v>
      </c>
      <c r="C96" s="5">
        <f t="shared" si="2"/>
        <v>0.1884955592153876</v>
      </c>
      <c r="D96" s="4">
        <f t="shared" si="8"/>
        <v>0.9822872507286887</v>
      </c>
      <c r="E96" s="5">
        <f t="shared" si="3"/>
        <v>15.427668863319827</v>
      </c>
      <c r="F96" s="4">
        <f t="shared" si="4"/>
        <v>-1.2649836093993203</v>
      </c>
      <c r="G96" s="5">
        <f t="shared" si="5"/>
        <v>-5.974144445875266</v>
      </c>
      <c r="H96" s="4">
        <f t="shared" si="6"/>
        <v>3.021566500807503</v>
      </c>
      <c r="I96" s="4"/>
      <c r="J96" s="7" t="s">
        <v>15</v>
      </c>
      <c r="K96" s="5">
        <f>IF(1/$K$95&lt;1,(COS($B$7*ACOS(1/$K$95)))^2,(COSH($B$7*ACOSH(1/$K$95)))^2)</f>
        <v>41.974307007966736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5">
        <v>8</v>
      </c>
      <c r="B97" s="5">
        <f t="shared" si="7"/>
        <v>1.4000000000000001</v>
      </c>
      <c r="C97" s="5">
        <f t="shared" si="2"/>
        <v>0.21991148575128552</v>
      </c>
      <c r="D97" s="4">
        <f t="shared" si="8"/>
        <v>0.9759167619387474</v>
      </c>
      <c r="E97" s="5">
        <f t="shared" si="3"/>
        <v>10.129215794737076</v>
      </c>
      <c r="F97" s="4">
        <f t="shared" si="4"/>
        <v>-0.8305397315647248</v>
      </c>
      <c r="G97" s="5">
        <f t="shared" si="5"/>
        <v>-7.592892885560239</v>
      </c>
      <c r="H97" s="4">
        <f t="shared" si="6"/>
        <v>2.431771531540793</v>
      </c>
      <c r="I97" s="4"/>
      <c r="J97" s="7" t="s">
        <v>17</v>
      </c>
      <c r="K97" s="5">
        <f>COS(PI()*$G$7/4)</f>
        <v>0.30901699437494745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5">
        <v>9</v>
      </c>
      <c r="B98" s="5">
        <f t="shared" si="7"/>
        <v>1.6</v>
      </c>
      <c r="C98" s="5">
        <f t="shared" si="2"/>
        <v>0.25132741228718347</v>
      </c>
      <c r="D98" s="4">
        <f t="shared" si="8"/>
        <v>0.9685831611286311</v>
      </c>
      <c r="E98" s="5">
        <f t="shared" si="3"/>
        <v>5.8810866490071145</v>
      </c>
      <c r="F98" s="4">
        <f t="shared" si="4"/>
        <v>-0.482216612396897</v>
      </c>
      <c r="G98" s="5">
        <f t="shared" si="5"/>
        <v>-9.784299026028059</v>
      </c>
      <c r="H98" s="4">
        <f t="shared" si="6"/>
        <v>1.959364057233959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5">
        <v>10</v>
      </c>
      <c r="B99" s="5">
        <f t="shared" si="7"/>
        <v>1.8</v>
      </c>
      <c r="C99" s="5">
        <f t="shared" si="2"/>
        <v>0.2827433388230814</v>
      </c>
      <c r="D99" s="4">
        <f t="shared" si="8"/>
        <v>0.9602936856769431</v>
      </c>
      <c r="E99" s="5">
        <f t="shared" si="3"/>
        <v>2.8476713665899296</v>
      </c>
      <c r="F99" s="4">
        <f t="shared" si="4"/>
        <v>-0.23349331876422363</v>
      </c>
      <c r="G99" s="5">
        <f t="shared" si="5"/>
        <v>-12.811322142055591</v>
      </c>
      <c r="H99" s="4">
        <f t="shared" si="6"/>
        <v>1.5933217966724085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5">
        <v>11</v>
      </c>
      <c r="B100" s="5">
        <f t="shared" si="7"/>
        <v>2</v>
      </c>
      <c r="C100" s="5">
        <f t="shared" si="2"/>
        <v>0.3141592653589793</v>
      </c>
      <c r="D100" s="4">
        <f t="shared" si="8"/>
        <v>0.9510565162951535</v>
      </c>
      <c r="E100" s="5">
        <f t="shared" si="3"/>
        <v>1</v>
      </c>
      <c r="F100" s="4">
        <f t="shared" si="4"/>
        <v>-0.08199447503095506</v>
      </c>
      <c r="G100" s="5">
        <f t="shared" si="5"/>
        <v>-17.280929952175917</v>
      </c>
      <c r="H100" s="4">
        <f t="shared" si="6"/>
        <v>1.316848062965202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5">
        <v>12</v>
      </c>
      <c r="B101" s="5">
        <f t="shared" si="7"/>
        <v>2.2</v>
      </c>
      <c r="C101" s="5">
        <f t="shared" si="2"/>
        <v>0.3455751918948773</v>
      </c>
      <c r="D101" s="4">
        <f t="shared" si="8"/>
        <v>0.9408807689542255</v>
      </c>
      <c r="E101" s="5">
        <f t="shared" si="3"/>
        <v>0.15127618744660679</v>
      </c>
      <c r="F101" s="4">
        <f t="shared" si="4"/>
        <v>-0.012403811574368876</v>
      </c>
      <c r="G101" s="5">
        <f t="shared" si="5"/>
        <v>-25.448491939981967</v>
      </c>
      <c r="H101" s="4">
        <f t="shared" si="6"/>
        <v>1.1128342183917386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5">
        <v>13</v>
      </c>
      <c r="B102" s="5">
        <f t="shared" si="7"/>
        <v>2.4000000000000004</v>
      </c>
      <c r="C102" s="5">
        <f t="shared" si="2"/>
        <v>0.3769911184307752</v>
      </c>
      <c r="D102" s="4">
        <f t="shared" si="8"/>
        <v>0.9297764858882513</v>
      </c>
      <c r="E102" s="5">
        <f t="shared" si="3"/>
        <v>0.015473718929522361</v>
      </c>
      <c r="F102" s="4">
        <f t="shared" si="4"/>
        <v>-0.0012687594604027378</v>
      </c>
      <c r="G102" s="5">
        <f t="shared" si="5"/>
        <v>-35.34468454177926</v>
      </c>
      <c r="H102" s="4">
        <f t="shared" si="6"/>
        <v>1.0347762242186684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5">
        <v>14</v>
      </c>
      <c r="B103" s="5">
        <f t="shared" si="7"/>
        <v>2.6</v>
      </c>
      <c r="C103" s="5">
        <f t="shared" si="2"/>
        <v>0.4084070449666731</v>
      </c>
      <c r="D103" s="4">
        <f t="shared" si="8"/>
        <v>0.9177546256839811</v>
      </c>
      <c r="E103" s="5">
        <f t="shared" si="3"/>
        <v>0.27543773228292384</v>
      </c>
      <c r="F103" s="4">
        <f t="shared" si="4"/>
        <v>-0.02258437226225508</v>
      </c>
      <c r="G103" s="5">
        <f t="shared" si="5"/>
        <v>-22.851050168111055</v>
      </c>
      <c r="H103" s="4">
        <f t="shared" si="6"/>
        <v>1.155216695894737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5">
        <v>15</v>
      </c>
      <c r="B104" s="5">
        <f t="shared" si="7"/>
        <v>2.8000000000000003</v>
      </c>
      <c r="C104" s="5">
        <f t="shared" si="2"/>
        <v>0.43982297150257105</v>
      </c>
      <c r="D104" s="4">
        <f t="shared" si="8"/>
        <v>0.9048270524660196</v>
      </c>
      <c r="E104" s="5">
        <f t="shared" si="3"/>
        <v>0.6462248640767219</v>
      </c>
      <c r="F104" s="4">
        <f t="shared" si="4"/>
        <v>-0.05298686848192109</v>
      </c>
      <c r="G104" s="5">
        <f t="shared" si="5"/>
        <v>-19.162627075624712</v>
      </c>
      <c r="H104" s="4">
        <f t="shared" si="6"/>
        <v>1.2474956089536657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5">
        <v>16</v>
      </c>
      <c r="B105" s="5">
        <f t="shared" si="7"/>
        <v>3</v>
      </c>
      <c r="C105" s="5">
        <f t="shared" si="2"/>
        <v>0.47123889803846897</v>
      </c>
      <c r="D105" s="4">
        <f t="shared" si="8"/>
        <v>0.8910065241883679</v>
      </c>
      <c r="E105" s="5">
        <f t="shared" si="3"/>
        <v>0.9217369770376772</v>
      </c>
      <c r="F105" s="4">
        <f t="shared" si="4"/>
        <v>-0.07557733954882381</v>
      </c>
      <c r="G105" s="5">
        <f t="shared" si="5"/>
        <v>-17.63166098258326</v>
      </c>
      <c r="H105" s="4">
        <f t="shared" si="6"/>
        <v>1.3024127780396935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5">
        <v>17</v>
      </c>
      <c r="B106" s="5">
        <f t="shared" si="7"/>
        <v>3.2</v>
      </c>
      <c r="C106" s="5">
        <f t="shared" si="2"/>
        <v>0.5026548245743669</v>
      </c>
      <c r="D106" s="4">
        <f t="shared" si="8"/>
        <v>0.8763066800438636</v>
      </c>
      <c r="E106" s="5">
        <f t="shared" si="3"/>
        <v>0.997363811601506</v>
      </c>
      <c r="F106" s="4">
        <f t="shared" si="4"/>
        <v>-0.08177832214713784</v>
      </c>
      <c r="G106" s="5">
        <f t="shared" si="5"/>
        <v>-17.29228615330808</v>
      </c>
      <c r="H106" s="4">
        <f t="shared" si="6"/>
        <v>1.316368590554092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5">
        <v>18</v>
      </c>
      <c r="B107" s="5">
        <f t="shared" si="7"/>
        <v>3.4000000000000004</v>
      </c>
      <c r="C107" s="5">
        <f t="shared" si="2"/>
        <v>0.5340707511102649</v>
      </c>
      <c r="D107" s="4">
        <f t="shared" si="8"/>
        <v>0.8607420270039436</v>
      </c>
      <c r="E107" s="5">
        <f t="shared" si="3"/>
        <v>0.8671839651194222</v>
      </c>
      <c r="F107" s="4">
        <f t="shared" si="4"/>
        <v>-0.07110429397522906</v>
      </c>
      <c r="G107" s="5">
        <f t="shared" si="5"/>
        <v>-17.89438846917403</v>
      </c>
      <c r="H107" s="4">
        <f t="shared" si="6"/>
        <v>1.2920865732896998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5">
        <v>19</v>
      </c>
      <c r="B108" s="5">
        <f t="shared" si="7"/>
        <v>3.6</v>
      </c>
      <c r="C108" s="5">
        <f t="shared" si="2"/>
        <v>0.5654866776461628</v>
      </c>
      <c r="D108" s="4">
        <f t="shared" si="8"/>
        <v>0.8443279255020151</v>
      </c>
      <c r="E108" s="5">
        <f t="shared" si="3"/>
        <v>0.5999179487493879</v>
      </c>
      <c r="F108" s="4">
        <f t="shared" si="4"/>
        <v>-0.049189957269353456</v>
      </c>
      <c r="G108" s="5">
        <f t="shared" si="5"/>
        <v>-19.483650424333682</v>
      </c>
      <c r="H108" s="4">
        <f t="shared" si="6"/>
        <v>1.2374491704907302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5">
        <v>20</v>
      </c>
      <c r="B109" s="5">
        <f t="shared" si="7"/>
        <v>3.8000000000000003</v>
      </c>
      <c r="C109" s="5">
        <f t="shared" si="2"/>
        <v>0.5969026041820606</v>
      </c>
      <c r="D109" s="4">
        <f t="shared" si="8"/>
        <v>0.8270805742745618</v>
      </c>
      <c r="E109" s="5">
        <f t="shared" si="3"/>
        <v>0.30204055319209</v>
      </c>
      <c r="F109" s="4">
        <f t="shared" si="4"/>
        <v>-0.024765656597044675</v>
      </c>
      <c r="G109" s="5">
        <f t="shared" si="5"/>
        <v>-22.4517215902689</v>
      </c>
      <c r="H109" s="4">
        <f t="shared" si="6"/>
        <v>1.1631148492738619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5">
        <v>21</v>
      </c>
      <c r="B110" s="5">
        <f t="shared" si="7"/>
        <v>4</v>
      </c>
      <c r="C110" s="5">
        <f t="shared" si="2"/>
        <v>0.6283185307179586</v>
      </c>
      <c r="D110" s="4">
        <f t="shared" si="8"/>
        <v>0.8090169943749475</v>
      </c>
      <c r="E110" s="5">
        <f t="shared" si="3"/>
        <v>0.07840000000000116</v>
      </c>
      <c r="F110" s="4">
        <f t="shared" si="4"/>
        <v>-0.0064283668424269715</v>
      </c>
      <c r="G110" s="5">
        <f t="shared" si="5"/>
        <v>-28.300050376646052</v>
      </c>
      <c r="H110" s="4">
        <f t="shared" si="6"/>
        <v>1.0799944117925766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5">
        <v>22</v>
      </c>
      <c r="B111" s="5">
        <f t="shared" si="7"/>
        <v>4.2</v>
      </c>
      <c r="C111" s="5">
        <f t="shared" si="2"/>
        <v>0.6597344572538566</v>
      </c>
      <c r="D111" s="4">
        <f t="shared" si="8"/>
        <v>0.7901550123756903</v>
      </c>
      <c r="E111" s="5">
        <f t="shared" si="3"/>
        <v>8.784381767012039E-05</v>
      </c>
      <c r="F111" s="4">
        <f t="shared" si="4"/>
        <v>-7.202707714576455E-06</v>
      </c>
      <c r="G111" s="5">
        <f t="shared" si="5"/>
        <v>-57.80288879920066</v>
      </c>
      <c r="H111" s="4">
        <f t="shared" si="6"/>
        <v>1.0025789635840439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5">
        <v>23</v>
      </c>
      <c r="B112" s="5">
        <f t="shared" si="7"/>
        <v>4.4</v>
      </c>
      <c r="C112" s="5">
        <f t="shared" si="2"/>
        <v>0.6911503837897546</v>
      </c>
      <c r="D112" s="4">
        <f t="shared" si="8"/>
        <v>0.7705132427757891</v>
      </c>
      <c r="E112" s="5">
        <f t="shared" si="3"/>
        <v>0.08649024329574984</v>
      </c>
      <c r="F112" s="4">
        <f t="shared" si="4"/>
        <v>-0.007091722094334588</v>
      </c>
      <c r="G112" s="5">
        <f t="shared" si="5"/>
        <v>-27.87387140733649</v>
      </c>
      <c r="H112" s="4">
        <f t="shared" si="6"/>
        <v>1.084186611860582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5">
        <v>24</v>
      </c>
      <c r="B113" s="5">
        <f t="shared" si="7"/>
        <v>4.6000000000000005</v>
      </c>
      <c r="C113" s="5">
        <f t="shared" si="2"/>
        <v>0.7225663103256525</v>
      </c>
      <c r="D113" s="4">
        <f t="shared" si="8"/>
        <v>0.7501110696304595</v>
      </c>
      <c r="E113" s="5">
        <f t="shared" si="3"/>
        <v>0.30425614818743196</v>
      </c>
      <c r="F113" s="4">
        <f t="shared" si="4"/>
        <v>-0.02494732314556895</v>
      </c>
      <c r="G113" s="5">
        <f t="shared" si="5"/>
        <v>-22.420071278051946</v>
      </c>
      <c r="H113" s="4">
        <f t="shared" si="6"/>
        <v>1.1637590594671319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5">
        <v>25</v>
      </c>
      <c r="B114" s="5">
        <f t="shared" si="7"/>
        <v>4.800000000000001</v>
      </c>
      <c r="C114" s="5">
        <f t="shared" si="2"/>
        <v>0.7539822368615504</v>
      </c>
      <c r="D114" s="4">
        <f t="shared" si="8"/>
        <v>0.7289686274214116</v>
      </c>
      <c r="E114" s="5">
        <f t="shared" si="3"/>
        <v>0.5814418805225116</v>
      </c>
      <c r="F114" s="4">
        <f t="shared" si="4"/>
        <v>-0.04767502175445463</v>
      </c>
      <c r="G114" s="5">
        <f t="shared" si="5"/>
        <v>-19.618749818492663</v>
      </c>
      <c r="H114" s="4">
        <f t="shared" si="6"/>
        <v>1.233356895793356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5">
        <v>26</v>
      </c>
      <c r="B115" s="5">
        <f t="shared" si="7"/>
        <v>5</v>
      </c>
      <c r="C115" s="5">
        <f t="shared" si="2"/>
        <v>0.7853981633974483</v>
      </c>
      <c r="D115" s="4">
        <f t="shared" si="8"/>
        <v>0.7071067811865476</v>
      </c>
      <c r="E115" s="5">
        <f t="shared" si="3"/>
        <v>0.8314318597227974</v>
      </c>
      <c r="F115" s="4">
        <f t="shared" si="4"/>
        <v>-0.06817281886198144</v>
      </c>
      <c r="G115" s="5">
        <f t="shared" si="5"/>
        <v>-18.07577241449882</v>
      </c>
      <c r="H115" s="4">
        <f t="shared" si="6"/>
        <v>1.2851895505610986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5">
        <v>27</v>
      </c>
      <c r="B116" s="5">
        <f t="shared" si="7"/>
        <v>5.2</v>
      </c>
      <c r="C116" s="5">
        <f t="shared" si="2"/>
        <v>0.8168140899333463</v>
      </c>
      <c r="D116" s="4">
        <f t="shared" si="8"/>
        <v>0.6845471059286886</v>
      </c>
      <c r="E116" s="5">
        <f t="shared" si="3"/>
        <v>0.9792233889562372</v>
      </c>
      <c r="F116" s="4">
        <f t="shared" si="4"/>
        <v>-0.08029090771549938</v>
      </c>
      <c r="G116" s="5">
        <f t="shared" si="5"/>
        <v>-17.37126303952546</v>
      </c>
      <c r="H116" s="4">
        <f t="shared" si="6"/>
        <v>1.3130568032559675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5">
        <v>28</v>
      </c>
      <c r="B117" s="5">
        <f t="shared" si="7"/>
        <v>5.4</v>
      </c>
      <c r="C117" s="5">
        <f t="shared" si="2"/>
        <v>0.8482300164692441</v>
      </c>
      <c r="D117" s="4">
        <f t="shared" si="8"/>
        <v>0.6613118653236519</v>
      </c>
      <c r="E117" s="5">
        <f t="shared" si="3"/>
        <v>0.9826788484933394</v>
      </c>
      <c r="F117" s="4">
        <f t="shared" si="4"/>
        <v>-0.08057423630623478</v>
      </c>
      <c r="G117" s="5">
        <f t="shared" si="5"/>
        <v>-17.356105965412464</v>
      </c>
      <c r="H117" s="4">
        <f t="shared" si="6"/>
        <v>1.3136893290540415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5">
        <v>29</v>
      </c>
      <c r="B118" s="5">
        <f t="shared" si="7"/>
        <v>5.6000000000000005</v>
      </c>
      <c r="C118" s="5">
        <f t="shared" si="2"/>
        <v>0.8796459430051421</v>
      </c>
      <c r="D118" s="4">
        <f t="shared" si="8"/>
        <v>0.6374239897486897</v>
      </c>
      <c r="E118" s="5">
        <f t="shared" si="3"/>
        <v>0.8432500685321184</v>
      </c>
      <c r="F118" s="4">
        <f t="shared" si="4"/>
        <v>-0.06914184668910792</v>
      </c>
      <c r="G118" s="5">
        <f t="shared" si="5"/>
        <v>-18.01495842287887</v>
      </c>
      <c r="H118" s="4">
        <f t="shared" si="6"/>
        <v>1.287481323620537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5">
        <v>30</v>
      </c>
      <c r="B119" s="5">
        <f t="shared" si="7"/>
        <v>5.800000000000001</v>
      </c>
      <c r="C119" s="5">
        <f t="shared" si="2"/>
        <v>0.9110618695410402</v>
      </c>
      <c r="D119" s="4">
        <f t="shared" si="8"/>
        <v>0.6129070536529764</v>
      </c>
      <c r="E119" s="5">
        <f t="shared" si="3"/>
        <v>0.6038666618706175</v>
      </c>
      <c r="F119" s="4">
        <f t="shared" si="4"/>
        <v>-0.04951372992877653</v>
      </c>
      <c r="G119" s="5">
        <f t="shared" si="5"/>
        <v>-19.45532002210755</v>
      </c>
      <c r="H119" s="4">
        <f t="shared" si="6"/>
        <v>1.238317349353839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5">
        <v>31</v>
      </c>
      <c r="B120" s="5">
        <f t="shared" si="7"/>
        <v>6</v>
      </c>
      <c r="C120" s="5">
        <f t="shared" si="2"/>
        <v>0.9424777960769379</v>
      </c>
      <c r="D120" s="4">
        <f t="shared" si="8"/>
        <v>0.5877852522924731</v>
      </c>
      <c r="E120" s="5">
        <f t="shared" si="3"/>
        <v>0.335264438462144</v>
      </c>
      <c r="F120" s="4">
        <f t="shared" si="4"/>
        <v>-0.027489831628251433</v>
      </c>
      <c r="G120" s="5">
        <f t="shared" si="5"/>
        <v>-21.99985998011766</v>
      </c>
      <c r="H120" s="4">
        <f t="shared" si="6"/>
        <v>1.1725766820452974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5">
        <v>32</v>
      </c>
      <c r="B121" s="5">
        <f t="shared" si="7"/>
        <v>6.2</v>
      </c>
      <c r="C121" s="5">
        <f t="shared" si="2"/>
        <v>0.9738937226128359</v>
      </c>
      <c r="D121" s="4">
        <f t="shared" si="8"/>
        <v>0.5620833778521306</v>
      </c>
      <c r="E121" s="5">
        <f t="shared" si="3"/>
        <v>0.11507055358222054</v>
      </c>
      <c r="F121" s="4">
        <f t="shared" si="4"/>
        <v>-0.009435149632495558</v>
      </c>
      <c r="G121" s="5">
        <f t="shared" si="5"/>
        <v>-26.635071913206517</v>
      </c>
      <c r="H121" s="4">
        <f t="shared" si="6"/>
        <v>1.0977224697745933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5">
        <v>33</v>
      </c>
      <c r="B122" s="5">
        <f t="shared" si="7"/>
        <v>6.4</v>
      </c>
      <c r="C122" s="5">
        <f aca="true" t="shared" si="9" ref="C122:C153">PI()/2*B122/$G$6</f>
        <v>1.0053096491487339</v>
      </c>
      <c r="D122" s="4">
        <f t="shared" si="8"/>
        <v>0.5358267949789965</v>
      </c>
      <c r="E122" s="5">
        <f t="shared" si="3"/>
        <v>0.005702928777901583</v>
      </c>
      <c r="F122" s="4">
        <f aca="true" t="shared" si="10" ref="F122:F153">-$E122*$G$8</f>
        <v>-0.00046760865128296636</v>
      </c>
      <c r="G122" s="5">
        <f aca="true" t="shared" si="11" ref="G122:G153">10*LOG10(1-10^(0.1*MIN(-0.000001,$F122)))</f>
        <v>-39.67925154025543</v>
      </c>
      <c r="H122" s="4">
        <f aca="true" t="shared" si="12" ref="H122:H153">(1+10^(0.05*$G122))/(1-10^(0.05*$G122))</f>
        <v>1.0209699443418156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5">
        <v>34</v>
      </c>
      <c r="B123" s="5">
        <f t="shared" si="7"/>
        <v>6.6000000000000005</v>
      </c>
      <c r="C123" s="5">
        <f t="shared" si="9"/>
        <v>1.0367255756846316</v>
      </c>
      <c r="D123" s="4">
        <f t="shared" si="8"/>
        <v>0.5090414157503714</v>
      </c>
      <c r="E123" s="5">
        <f t="shared" si="3"/>
        <v>0.037194536352885346</v>
      </c>
      <c r="F123" s="4">
        <f t="shared" si="10"/>
        <v>-0.0030497464822746077</v>
      </c>
      <c r="G123" s="5">
        <f t="shared" si="11"/>
        <v>-31.536730506578333</v>
      </c>
      <c r="H123" s="4">
        <f t="shared" si="12"/>
        <v>1.0544321227957432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5">
        <v>35</v>
      </c>
      <c r="B124" s="5">
        <f t="shared" si="7"/>
        <v>6.800000000000001</v>
      </c>
      <c r="C124" s="5">
        <f t="shared" si="9"/>
        <v>1.0681415022205298</v>
      </c>
      <c r="D124" s="4">
        <f t="shared" si="8"/>
        <v>0.48175367410171516</v>
      </c>
      <c r="E124" s="5">
        <f t="shared" si="3"/>
        <v>0.19948077743929932</v>
      </c>
      <c r="F124" s="4">
        <f t="shared" si="10"/>
        <v>-0.01635632162490213</v>
      </c>
      <c r="G124" s="5">
        <f t="shared" si="11"/>
        <v>-24.249162289326648</v>
      </c>
      <c r="H124" s="4">
        <f t="shared" si="12"/>
        <v>1.13063224190378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5">
        <v>36</v>
      </c>
      <c r="B125" s="5">
        <f t="shared" si="7"/>
        <v>7</v>
      </c>
      <c r="C125" s="5">
        <f t="shared" si="9"/>
        <v>1.0995574287564276</v>
      </c>
      <c r="D125" s="4">
        <f t="shared" si="8"/>
        <v>0.4539904997395468</v>
      </c>
      <c r="E125" s="5">
        <f t="shared" si="3"/>
        <v>0.4459696974813179</v>
      </c>
      <c r="F125" s="4">
        <f t="shared" si="10"/>
        <v>-0.036567051224694495</v>
      </c>
      <c r="G125" s="5">
        <f t="shared" si="11"/>
        <v>-20.765214408430623</v>
      </c>
      <c r="H125" s="4">
        <f t="shared" si="12"/>
        <v>1.2015934432431088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5">
        <v>37</v>
      </c>
      <c r="B126" s="5">
        <f t="shared" si="7"/>
        <v>7.2</v>
      </c>
      <c r="C126" s="5">
        <f t="shared" si="9"/>
        <v>1.1309733552923256</v>
      </c>
      <c r="D126" s="4">
        <f t="shared" si="8"/>
        <v>0.42577929156507266</v>
      </c>
      <c r="E126" s="5">
        <f t="shared" si="3"/>
        <v>0.7071081182452156</v>
      </c>
      <c r="F126" s="4">
        <f t="shared" si="10"/>
        <v>-0.05797895894564294</v>
      </c>
      <c r="G126" s="5">
        <f t="shared" si="11"/>
        <v>-18.774096211212587</v>
      </c>
      <c r="H126" s="4">
        <f t="shared" si="12"/>
        <v>1.2602912663997607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5">
        <v>38</v>
      </c>
      <c r="B127" s="5">
        <f t="shared" si="7"/>
        <v>7.4</v>
      </c>
      <c r="C127" s="5">
        <f t="shared" si="9"/>
        <v>1.1623892818282235</v>
      </c>
      <c r="D127" s="4">
        <f t="shared" si="8"/>
        <v>0.39714789063478056</v>
      </c>
      <c r="E127" s="5">
        <f t="shared" si="3"/>
        <v>0.9099940052685619</v>
      </c>
      <c r="F127" s="4">
        <f t="shared" si="10"/>
        <v>-0.07461448074331188</v>
      </c>
      <c r="G127" s="5">
        <f t="shared" si="11"/>
        <v>-17.686865730121063</v>
      </c>
      <c r="H127" s="4">
        <f t="shared" si="12"/>
        <v>1.3002092416877513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5">
        <v>39</v>
      </c>
      <c r="B128" s="5">
        <f t="shared" si="7"/>
        <v>7.6000000000000005</v>
      </c>
      <c r="C128" s="5">
        <f t="shared" si="9"/>
        <v>1.1938052083641213</v>
      </c>
      <c r="D128" s="4">
        <f t="shared" si="8"/>
        <v>0.3681245526846781</v>
      </c>
      <c r="E128" s="5">
        <f t="shared" si="3"/>
        <v>0.9985556838866103</v>
      </c>
      <c r="F128" s="4">
        <f t="shared" si="10"/>
        <v>-0.08187604908945892</v>
      </c>
      <c r="G128" s="5">
        <f t="shared" si="11"/>
        <v>-17.28714804473826</v>
      </c>
      <c r="H128" s="4">
        <f t="shared" si="12"/>
        <v>1.3165854254184322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5">
        <v>40</v>
      </c>
      <c r="B129" s="5">
        <f t="shared" si="7"/>
        <v>7.800000000000001</v>
      </c>
      <c r="C129" s="5">
        <f t="shared" si="9"/>
        <v>1.2252211349000195</v>
      </c>
      <c r="D129" s="4">
        <f t="shared" si="8"/>
        <v>0.33873792024529126</v>
      </c>
      <c r="E129" s="5">
        <f t="shared" si="3"/>
        <v>0.9487940123726556</v>
      </c>
      <c r="F129" s="4">
        <f t="shared" si="10"/>
        <v>-0.07779586695700937</v>
      </c>
      <c r="G129" s="5">
        <f t="shared" si="11"/>
        <v>-17.5071177318263</v>
      </c>
      <c r="H129" s="4">
        <f t="shared" si="12"/>
        <v>1.307451564195745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5">
        <v>41</v>
      </c>
      <c r="B130" s="5">
        <f t="shared" si="7"/>
        <v>8</v>
      </c>
      <c r="C130" s="5">
        <f t="shared" si="9"/>
        <v>1.2566370614359172</v>
      </c>
      <c r="D130" s="4">
        <f t="shared" si="8"/>
        <v>0.30901699437494745</v>
      </c>
      <c r="E130" s="5">
        <f t="shared" si="3"/>
        <v>0.7750316674110361</v>
      </c>
      <c r="F130" s="4">
        <f t="shared" si="10"/>
        <v>-0.06354831470173367</v>
      </c>
      <c r="G130" s="5">
        <f t="shared" si="11"/>
        <v>-18.3785381499672</v>
      </c>
      <c r="H130" s="4">
        <f t="shared" si="12"/>
        <v>1.2740810660159347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5">
        <v>42</v>
      </c>
      <c r="B131" s="5">
        <f t="shared" si="7"/>
        <v>8.200000000000001</v>
      </c>
      <c r="C131" s="5">
        <f t="shared" si="9"/>
        <v>1.2880529879718154</v>
      </c>
      <c r="D131" s="4">
        <f t="shared" si="8"/>
        <v>0.27899110603922905</v>
      </c>
      <c r="E131" s="5">
        <f t="shared" si="3"/>
        <v>0.5256156770389976</v>
      </c>
      <c r="F131" s="4">
        <f t="shared" si="10"/>
        <v>-0.043097581506852625</v>
      </c>
      <c r="G131" s="5">
        <f t="shared" si="11"/>
        <v>-20.054845086864063</v>
      </c>
      <c r="H131" s="4">
        <f t="shared" si="12"/>
        <v>1.2206691403021883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5">
        <v>43</v>
      </c>
      <c r="B132" s="5">
        <f t="shared" si="7"/>
        <v>8.4</v>
      </c>
      <c r="C132" s="5">
        <f t="shared" si="9"/>
        <v>1.3194689145077132</v>
      </c>
      <c r="D132" s="4">
        <f t="shared" si="8"/>
        <v>0.24868988716485474</v>
      </c>
      <c r="E132" s="5">
        <f t="shared" si="3"/>
        <v>0.2693888449089441</v>
      </c>
      <c r="F132" s="4">
        <f t="shared" si="10"/>
        <v>-0.022088396917504242</v>
      </c>
      <c r="G132" s="5">
        <f t="shared" si="11"/>
        <v>-22.947240652956545</v>
      </c>
      <c r="H132" s="4">
        <f t="shared" si="12"/>
        <v>1.153376162914486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5">
        <v>44</v>
      </c>
      <c r="B133" s="5">
        <f t="shared" si="7"/>
        <v>8.6</v>
      </c>
      <c r="C133" s="5">
        <f t="shared" si="9"/>
        <v>1.350884841043611</v>
      </c>
      <c r="D133" s="4">
        <f t="shared" si="8"/>
        <v>0.2181432413965427</v>
      </c>
      <c r="E133" s="5">
        <f t="shared" si="3"/>
        <v>0.0767135896945306</v>
      </c>
      <c r="F133" s="4">
        <f t="shared" si="10"/>
        <v>-0.0062900905147431204</v>
      </c>
      <c r="G133" s="5">
        <f t="shared" si="11"/>
        <v>-28.394418828555917</v>
      </c>
      <c r="H133" s="4">
        <f t="shared" si="12"/>
        <v>1.0790958258742598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5">
        <v>45</v>
      </c>
      <c r="B134" s="5">
        <f t="shared" si="7"/>
        <v>8.8</v>
      </c>
      <c r="C134" s="5">
        <f t="shared" si="9"/>
        <v>1.3823007675795091</v>
      </c>
      <c r="D134" s="4">
        <f t="shared" si="8"/>
        <v>0.18738131458572452</v>
      </c>
      <c r="E134" s="5">
        <f t="shared" si="3"/>
        <v>0.00024894489171909523</v>
      </c>
      <c r="F134" s="4">
        <f t="shared" si="10"/>
        <v>-2.0412105708145163E-05</v>
      </c>
      <c r="G134" s="5">
        <f t="shared" si="11"/>
        <v>-53.278975231580965</v>
      </c>
      <c r="H134" s="4">
        <f t="shared" si="12"/>
        <v>1.004345340258138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5">
        <v>46</v>
      </c>
      <c r="B135" s="5">
        <f t="shared" si="7"/>
        <v>9</v>
      </c>
      <c r="C135" s="5">
        <f t="shared" si="9"/>
        <v>1.413716694115407</v>
      </c>
      <c r="D135" s="4">
        <f t="shared" si="8"/>
        <v>0.15643446504023092</v>
      </c>
      <c r="E135" s="5">
        <f t="shared" si="3"/>
        <v>0.06068712742711577</v>
      </c>
      <c r="F135" s="4">
        <f t="shared" si="10"/>
        <v>-0.0049760091545230315</v>
      </c>
      <c r="G135" s="5">
        <f t="shared" si="11"/>
        <v>-29.411519173336767</v>
      </c>
      <c r="H135" s="4">
        <f t="shared" si="12"/>
        <v>1.0700494553002318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5">
        <v>47</v>
      </c>
      <c r="B136" s="5">
        <f t="shared" si="7"/>
        <v>9.200000000000001</v>
      </c>
      <c r="C136" s="5">
        <f t="shared" si="9"/>
        <v>1.445132620651305</v>
      </c>
      <c r="D136" s="4">
        <f t="shared" si="8"/>
        <v>0.12533323356430404</v>
      </c>
      <c r="E136" s="5">
        <f t="shared" si="3"/>
        <v>0.241267631667017</v>
      </c>
      <c r="F136" s="4">
        <f t="shared" si="10"/>
        <v>-0.019782612800498887</v>
      </c>
      <c r="G136" s="5">
        <f t="shared" si="11"/>
        <v>-23.424894157190202</v>
      </c>
      <c r="H136" s="4">
        <f t="shared" si="12"/>
        <v>1.144576188732359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5">
        <v>48</v>
      </c>
      <c r="B137" s="5">
        <f t="shared" si="7"/>
        <v>9.4</v>
      </c>
      <c r="C137" s="5">
        <f t="shared" si="9"/>
        <v>1.4765485471872029</v>
      </c>
      <c r="D137" s="4">
        <f t="shared" si="8"/>
        <v>0.09410831331851428</v>
      </c>
      <c r="E137" s="5">
        <f t="shared" si="3"/>
        <v>0.49249020379197106</v>
      </c>
      <c r="F137" s="4">
        <f t="shared" si="10"/>
        <v>-0.040381475717810734</v>
      </c>
      <c r="G137" s="5">
        <f t="shared" si="11"/>
        <v>-20.33619634672116</v>
      </c>
      <c r="H137" s="4">
        <f t="shared" si="12"/>
        <v>1.2128871508749193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5">
        <v>49</v>
      </c>
      <c r="B138" s="5">
        <f t="shared" si="7"/>
        <v>9.600000000000001</v>
      </c>
      <c r="C138" s="5">
        <f t="shared" si="9"/>
        <v>1.5079644737231008</v>
      </c>
      <c r="D138" s="4">
        <f t="shared" si="8"/>
        <v>0.0627905195293133</v>
      </c>
      <c r="E138" s="5">
        <f t="shared" si="3"/>
        <v>0.7456917937462084</v>
      </c>
      <c r="F138" s="4">
        <f t="shared" si="10"/>
        <v>-0.061142607163111574</v>
      </c>
      <c r="G138" s="5">
        <f t="shared" si="11"/>
        <v>-18.544939015845394</v>
      </c>
      <c r="H138" s="4">
        <f t="shared" si="12"/>
        <v>1.2681829269139904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5">
        <v>50</v>
      </c>
      <c r="B139" s="5">
        <f t="shared" si="7"/>
        <v>9.8</v>
      </c>
      <c r="C139" s="5">
        <f t="shared" si="9"/>
        <v>1.5393804002589988</v>
      </c>
      <c r="D139" s="4">
        <f t="shared" si="8"/>
        <v>0.031410759078128174</v>
      </c>
      <c r="E139" s="5">
        <f t="shared" si="3"/>
        <v>0.9317741967374257</v>
      </c>
      <c r="F139" s="4">
        <f t="shared" si="10"/>
        <v>-0.07640033610887505</v>
      </c>
      <c r="G139" s="5">
        <f t="shared" si="11"/>
        <v>-17.585034588541124</v>
      </c>
      <c r="H139" s="4">
        <f t="shared" si="12"/>
        <v>1.3042881638904915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5">
        <v>51</v>
      </c>
      <c r="B140" s="5">
        <f t="shared" si="7"/>
        <v>10</v>
      </c>
      <c r="C140" s="5">
        <f t="shared" si="9"/>
        <v>1.5707963267948966</v>
      </c>
      <c r="D140" s="4">
        <f t="shared" si="8"/>
        <v>6.1257422745431E-17</v>
      </c>
      <c r="E140" s="5">
        <f t="shared" si="3"/>
        <v>1</v>
      </c>
      <c r="F140" s="4">
        <f t="shared" si="10"/>
        <v>-0.08199447503095506</v>
      </c>
      <c r="G140" s="5">
        <f t="shared" si="11"/>
        <v>-17.280929952175917</v>
      </c>
      <c r="H140" s="4">
        <f t="shared" si="12"/>
        <v>1.316848062965202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5">
        <v>52</v>
      </c>
      <c r="B141" s="5">
        <f t="shared" si="7"/>
        <v>10.200000000000001</v>
      </c>
      <c r="C141" s="5">
        <f t="shared" si="9"/>
        <v>1.6022122533307948</v>
      </c>
      <c r="D141" s="4">
        <f t="shared" si="8"/>
        <v>-0.0314107590781285</v>
      </c>
      <c r="E141" s="5">
        <f t="shared" si="3"/>
        <v>0.9317741967374243</v>
      </c>
      <c r="F141" s="4">
        <f t="shared" si="10"/>
        <v>-0.07640033610887495</v>
      </c>
      <c r="G141" s="5">
        <f t="shared" si="11"/>
        <v>-17.585034588541124</v>
      </c>
      <c r="H141" s="4">
        <f t="shared" si="12"/>
        <v>1.3042881638904915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5">
        <v>53</v>
      </c>
      <c r="B142" s="5">
        <f t="shared" si="7"/>
        <v>10.4</v>
      </c>
      <c r="C142" s="5">
        <f t="shared" si="9"/>
        <v>1.6336281798666925</v>
      </c>
      <c r="D142" s="4">
        <f t="shared" si="8"/>
        <v>-0.0627905195293134</v>
      </c>
      <c r="E142" s="5">
        <f t="shared" si="3"/>
        <v>0.7456917937462092</v>
      </c>
      <c r="F142" s="4">
        <f t="shared" si="10"/>
        <v>-0.06114260716311164</v>
      </c>
      <c r="G142" s="5">
        <f t="shared" si="11"/>
        <v>-18.544939015845394</v>
      </c>
      <c r="H142" s="4">
        <f t="shared" si="12"/>
        <v>1.2681829269139904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5">
        <v>54</v>
      </c>
      <c r="B143" s="5">
        <f t="shared" si="7"/>
        <v>10.600000000000001</v>
      </c>
      <c r="C143" s="5">
        <f t="shared" si="9"/>
        <v>1.6650441064025905</v>
      </c>
      <c r="D143" s="4">
        <f t="shared" si="8"/>
        <v>-0.09410831331851438</v>
      </c>
      <c r="E143" s="5">
        <f t="shared" si="3"/>
        <v>0.4924902037919703</v>
      </c>
      <c r="F143" s="4">
        <f t="shared" si="10"/>
        <v>-0.04038147571781067</v>
      </c>
      <c r="G143" s="5">
        <f t="shared" si="11"/>
        <v>-20.33619634672116</v>
      </c>
      <c r="H143" s="4">
        <f t="shared" si="12"/>
        <v>1.2128871508749193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5">
        <v>55</v>
      </c>
      <c r="B144" s="5">
        <f t="shared" si="7"/>
        <v>10.8</v>
      </c>
      <c r="C144" s="5">
        <f t="shared" si="9"/>
        <v>1.6964600329384882</v>
      </c>
      <c r="D144" s="4">
        <f t="shared" si="8"/>
        <v>-0.12533323356430415</v>
      </c>
      <c r="E144" s="5">
        <f t="shared" si="3"/>
        <v>0.2412676316670163</v>
      </c>
      <c r="F144" s="4">
        <f t="shared" si="10"/>
        <v>-0.019782612800498832</v>
      </c>
      <c r="G144" s="5">
        <f t="shared" si="11"/>
        <v>-23.424894157190202</v>
      </c>
      <c r="H144" s="4">
        <f t="shared" si="12"/>
        <v>1.144576188732359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5">
        <v>56</v>
      </c>
      <c r="B145" s="5">
        <f t="shared" si="7"/>
        <v>11</v>
      </c>
      <c r="C145" s="5">
        <f t="shared" si="9"/>
        <v>1.727875959474386</v>
      </c>
      <c r="D145" s="4">
        <f t="shared" si="8"/>
        <v>-0.1564344650402306</v>
      </c>
      <c r="E145" s="5">
        <f t="shared" si="3"/>
        <v>0.060687127427117946</v>
      </c>
      <c r="F145" s="4">
        <f t="shared" si="10"/>
        <v>-0.00497600915452321</v>
      </c>
      <c r="G145" s="5">
        <f t="shared" si="11"/>
        <v>-29.411519173336767</v>
      </c>
      <c r="H145" s="4">
        <f t="shared" si="12"/>
        <v>1.0700494553002318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5">
        <v>57</v>
      </c>
      <c r="B146" s="5">
        <f t="shared" si="7"/>
        <v>11.200000000000001</v>
      </c>
      <c r="C146" s="5">
        <f t="shared" si="9"/>
        <v>1.7592918860102842</v>
      </c>
      <c r="D146" s="4">
        <f t="shared" si="8"/>
        <v>-0.1873813145857246</v>
      </c>
      <c r="E146" s="5">
        <f t="shared" si="3"/>
        <v>0.00024894489171906433</v>
      </c>
      <c r="F146" s="4">
        <f t="shared" si="10"/>
        <v>-2.041210570814263E-05</v>
      </c>
      <c r="G146" s="5">
        <f t="shared" si="11"/>
        <v>-53.278975231580965</v>
      </c>
      <c r="H146" s="4">
        <f t="shared" si="12"/>
        <v>1.004345340258138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5">
        <v>58</v>
      </c>
      <c r="B147" s="5">
        <f t="shared" si="7"/>
        <v>11.4</v>
      </c>
      <c r="C147" s="5">
        <f t="shared" si="9"/>
        <v>1.7907078125461822</v>
      </c>
      <c r="D147" s="4">
        <f t="shared" si="8"/>
        <v>-0.21814324139654256</v>
      </c>
      <c r="E147" s="5">
        <f t="shared" si="3"/>
        <v>0.07671358969452913</v>
      </c>
      <c r="F147" s="4">
        <f t="shared" si="10"/>
        <v>-0.006290090514743</v>
      </c>
      <c r="G147" s="5">
        <f t="shared" si="11"/>
        <v>-28.394418828555917</v>
      </c>
      <c r="H147" s="4">
        <f t="shared" si="12"/>
        <v>1.0790958258742598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5">
        <v>59</v>
      </c>
      <c r="B148" s="5">
        <f t="shared" si="7"/>
        <v>11.600000000000001</v>
      </c>
      <c r="C148" s="5">
        <f t="shared" si="9"/>
        <v>1.8221237390820804</v>
      </c>
      <c r="D148" s="4">
        <f t="shared" si="8"/>
        <v>-0.24868988716485507</v>
      </c>
      <c r="E148" s="5">
        <f t="shared" si="3"/>
        <v>0.26938884490894627</v>
      </c>
      <c r="F148" s="4">
        <f t="shared" si="10"/>
        <v>-0.02208839691750442</v>
      </c>
      <c r="G148" s="5">
        <f t="shared" si="11"/>
        <v>-22.947240652956356</v>
      </c>
      <c r="H148" s="4">
        <f t="shared" si="12"/>
        <v>1.1533761629144896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5">
        <v>60</v>
      </c>
      <c r="B149" s="5">
        <f t="shared" si="7"/>
        <v>11.8</v>
      </c>
      <c r="C149" s="5">
        <f t="shared" si="9"/>
        <v>1.8535396656179781</v>
      </c>
      <c r="D149" s="4">
        <f t="shared" si="8"/>
        <v>-0.27899110603922933</v>
      </c>
      <c r="E149" s="5">
        <f t="shared" si="3"/>
        <v>0.5256156770389984</v>
      </c>
      <c r="F149" s="4">
        <f t="shared" si="10"/>
        <v>-0.04309758150685269</v>
      </c>
      <c r="G149" s="5">
        <f t="shared" si="11"/>
        <v>-20.054845086864063</v>
      </c>
      <c r="H149" s="4">
        <f t="shared" si="12"/>
        <v>1.2206691403021883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5">
        <v>61</v>
      </c>
      <c r="B150" s="5">
        <f t="shared" si="7"/>
        <v>12</v>
      </c>
      <c r="C150" s="5">
        <f t="shared" si="9"/>
        <v>1.8849555921538759</v>
      </c>
      <c r="D150" s="4">
        <f t="shared" si="8"/>
        <v>-0.30901699437494734</v>
      </c>
      <c r="E150" s="5">
        <f t="shared" si="3"/>
        <v>0.7750316674110338</v>
      </c>
      <c r="F150" s="4">
        <f t="shared" si="10"/>
        <v>-0.06354831470173347</v>
      </c>
      <c r="G150" s="5">
        <f t="shared" si="11"/>
        <v>-18.3785381499672</v>
      </c>
      <c r="H150" s="4">
        <f t="shared" si="12"/>
        <v>1.2740810660159347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5">
        <v>62</v>
      </c>
      <c r="B151" s="5">
        <f t="shared" si="7"/>
        <v>12.200000000000001</v>
      </c>
      <c r="C151" s="5">
        <f t="shared" si="9"/>
        <v>1.916371518689774</v>
      </c>
      <c r="D151" s="4">
        <f t="shared" si="8"/>
        <v>-0.33873792024529153</v>
      </c>
      <c r="E151" s="5">
        <f t="shared" si="3"/>
        <v>0.9487940123726567</v>
      </c>
      <c r="F151" s="4">
        <f t="shared" si="10"/>
        <v>-0.07779586695700946</v>
      </c>
      <c r="G151" s="5">
        <f t="shared" si="11"/>
        <v>-17.5071177318263</v>
      </c>
      <c r="H151" s="4">
        <f t="shared" si="12"/>
        <v>1.307451564195745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5">
        <v>63</v>
      </c>
      <c r="B152" s="5">
        <f t="shared" si="7"/>
        <v>12.4</v>
      </c>
      <c r="C152" s="5">
        <f t="shared" si="9"/>
        <v>1.9477874452256718</v>
      </c>
      <c r="D152" s="4">
        <f t="shared" si="8"/>
        <v>-0.368124552684678</v>
      </c>
      <c r="E152" s="5">
        <f t="shared" si="3"/>
        <v>0.9985556838866105</v>
      </c>
      <c r="F152" s="4">
        <f t="shared" si="10"/>
        <v>-0.08187604908945893</v>
      </c>
      <c r="G152" s="5">
        <f t="shared" si="11"/>
        <v>-17.28714804473826</v>
      </c>
      <c r="H152" s="4">
        <f t="shared" si="12"/>
        <v>1.3165854254184322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5">
        <v>64</v>
      </c>
      <c r="B153" s="5">
        <f t="shared" si="7"/>
        <v>12.600000000000001</v>
      </c>
      <c r="C153" s="5">
        <f t="shared" si="9"/>
        <v>1.9792033717615698</v>
      </c>
      <c r="D153" s="4">
        <f t="shared" si="8"/>
        <v>-0.3971478906347807</v>
      </c>
      <c r="E153" s="5">
        <f t="shared" si="3"/>
        <v>0.9099940052685603</v>
      </c>
      <c r="F153" s="4">
        <f t="shared" si="10"/>
        <v>-0.07461448074331176</v>
      </c>
      <c r="G153" s="5">
        <f t="shared" si="11"/>
        <v>-17.686865730121063</v>
      </c>
      <c r="H153" s="4">
        <f t="shared" si="12"/>
        <v>1.3002092416877513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5">
        <v>65</v>
      </c>
      <c r="B154" s="5">
        <f t="shared" si="7"/>
        <v>12.8</v>
      </c>
      <c r="C154" s="5">
        <f aca="true" t="shared" si="13" ref="C154:C185">PI()/2*B154/$G$6</f>
        <v>2.0106192982974678</v>
      </c>
      <c r="D154" s="4">
        <f t="shared" si="8"/>
        <v>-0.4257792915650727</v>
      </c>
      <c r="E154" s="5">
        <f t="shared" si="3"/>
        <v>0.7071081182452164</v>
      </c>
      <c r="F154" s="4">
        <f aca="true" t="shared" si="14" ref="F154:F190">-$E154*$G$8</f>
        <v>-0.057978958945643005</v>
      </c>
      <c r="G154" s="5">
        <f aca="true" t="shared" si="15" ref="G154:G190">10*LOG10(1-10^(0.1*MIN(-0.000001,$F154)))</f>
        <v>-18.774096211212587</v>
      </c>
      <c r="H154" s="4">
        <f aca="true" t="shared" si="16" ref="H154:H190">(1+10^(0.05*$G154))/(1-10^(0.05*$G154))</f>
        <v>1.2602912663997607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5">
        <v>66</v>
      </c>
      <c r="B155" s="5">
        <f aca="true" t="shared" si="17" ref="B155:B190">$B$10+0.01*($B$11-$B$10)*(A155-1)</f>
        <v>13</v>
      </c>
      <c r="C155" s="5">
        <f t="shared" si="13"/>
        <v>2.0420352248333655</v>
      </c>
      <c r="D155" s="4">
        <f aca="true" t="shared" si="18" ref="D155:D190">COS(C155)</f>
        <v>-0.4539904997395467</v>
      </c>
      <c r="E155" s="5">
        <f aca="true" t="shared" si="19" ref="E155:E190">IF(ABS($D155/$K$95)&lt;1,(COS($B$7*ACOS($D155/$K$95)))^2,IF(ABS($D155/$K$95)&gt;1,(COSH($B$7*ACOSH(ABS($D155/$K$95))))^2,1))</f>
        <v>0.4459696974813207</v>
      </c>
      <c r="F155" s="4">
        <f t="shared" si="14"/>
        <v>-0.03656705122469473</v>
      </c>
      <c r="G155" s="5">
        <f t="shared" si="15"/>
        <v>-20.765214408430623</v>
      </c>
      <c r="H155" s="4">
        <f t="shared" si="16"/>
        <v>1.2015934432431088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5">
        <v>67</v>
      </c>
      <c r="B156" s="5">
        <f t="shared" si="17"/>
        <v>13.200000000000001</v>
      </c>
      <c r="C156" s="5">
        <f t="shared" si="13"/>
        <v>2.0734511513692633</v>
      </c>
      <c r="D156" s="4">
        <f t="shared" si="18"/>
        <v>-0.48175367410171505</v>
      </c>
      <c r="E156" s="5">
        <f t="shared" si="19"/>
        <v>0.1994807774393001</v>
      </c>
      <c r="F156" s="4">
        <f t="shared" si="14"/>
        <v>-0.016356321624902193</v>
      </c>
      <c r="G156" s="5">
        <f t="shared" si="15"/>
        <v>-24.249162289326648</v>
      </c>
      <c r="H156" s="4">
        <f t="shared" si="16"/>
        <v>1.13063224190378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5">
        <v>68</v>
      </c>
      <c r="B157" s="5">
        <f t="shared" si="17"/>
        <v>13.4</v>
      </c>
      <c r="C157" s="5">
        <f t="shared" si="13"/>
        <v>2.1048670779051615</v>
      </c>
      <c r="D157" s="4">
        <f t="shared" si="18"/>
        <v>-0.5090414157503713</v>
      </c>
      <c r="E157" s="5">
        <f t="shared" si="19"/>
        <v>0.03719453635288705</v>
      </c>
      <c r="F157" s="4">
        <f t="shared" si="14"/>
        <v>-0.003049746482274748</v>
      </c>
      <c r="G157" s="5">
        <f t="shared" si="15"/>
        <v>-31.536730506578333</v>
      </c>
      <c r="H157" s="4">
        <f t="shared" si="16"/>
        <v>1.0544321227957432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5">
        <v>69</v>
      </c>
      <c r="B158" s="5">
        <f t="shared" si="17"/>
        <v>13.600000000000001</v>
      </c>
      <c r="C158" s="5">
        <f t="shared" si="13"/>
        <v>2.1362830044410597</v>
      </c>
      <c r="D158" s="4">
        <f t="shared" si="18"/>
        <v>-0.5358267949789969</v>
      </c>
      <c r="E158" s="5">
        <f t="shared" si="19"/>
        <v>0.005702928777901703</v>
      </c>
      <c r="F158" s="4">
        <f t="shared" si="14"/>
        <v>-0.00046760865128297617</v>
      </c>
      <c r="G158" s="5">
        <f t="shared" si="15"/>
        <v>-39.67925154025543</v>
      </c>
      <c r="H158" s="4">
        <f t="shared" si="16"/>
        <v>1.0209699443418156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5">
        <v>70</v>
      </c>
      <c r="B159" s="5">
        <f t="shared" si="17"/>
        <v>13.8</v>
      </c>
      <c r="C159" s="5">
        <f t="shared" si="13"/>
        <v>2.1676989309769574</v>
      </c>
      <c r="D159" s="4">
        <f t="shared" si="18"/>
        <v>-0.5620833778521307</v>
      </c>
      <c r="E159" s="5">
        <f t="shared" si="19"/>
        <v>0.11507055358222104</v>
      </c>
      <c r="F159" s="4">
        <f t="shared" si="14"/>
        <v>-0.0094351496324956</v>
      </c>
      <c r="G159" s="5">
        <f t="shared" si="15"/>
        <v>-26.635071913206517</v>
      </c>
      <c r="H159" s="4">
        <f t="shared" si="16"/>
        <v>1.0977224697745933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5">
        <v>71</v>
      </c>
      <c r="B160" s="5">
        <f t="shared" si="17"/>
        <v>14</v>
      </c>
      <c r="C160" s="5">
        <f t="shared" si="13"/>
        <v>2.199114857512855</v>
      </c>
      <c r="D160" s="4">
        <f t="shared" si="18"/>
        <v>-0.587785252292473</v>
      </c>
      <c r="E160" s="5">
        <f t="shared" si="19"/>
        <v>0.3352644384621422</v>
      </c>
      <c r="F160" s="4">
        <f t="shared" si="14"/>
        <v>-0.027489831628251287</v>
      </c>
      <c r="G160" s="5">
        <f t="shared" si="15"/>
        <v>-21.99985998011766</v>
      </c>
      <c r="H160" s="4">
        <f t="shared" si="16"/>
        <v>1.1725766820452974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5">
        <v>72</v>
      </c>
      <c r="B161" s="5">
        <f t="shared" si="17"/>
        <v>14.200000000000001</v>
      </c>
      <c r="C161" s="5">
        <f t="shared" si="13"/>
        <v>2.2305307840487534</v>
      </c>
      <c r="D161" s="4">
        <f t="shared" si="18"/>
        <v>-0.6129070536529766</v>
      </c>
      <c r="E161" s="5">
        <f t="shared" si="19"/>
        <v>0.6038666618706182</v>
      </c>
      <c r="F161" s="4">
        <f t="shared" si="14"/>
        <v>-0.04951372992877658</v>
      </c>
      <c r="G161" s="5">
        <f t="shared" si="15"/>
        <v>-19.45532002210755</v>
      </c>
      <c r="H161" s="4">
        <f t="shared" si="16"/>
        <v>1.238317349353839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5">
        <v>73</v>
      </c>
      <c r="B162" s="5">
        <f t="shared" si="17"/>
        <v>14.4</v>
      </c>
      <c r="C162" s="5">
        <f t="shared" si="13"/>
        <v>2.261946710584651</v>
      </c>
      <c r="D162" s="4">
        <f t="shared" si="18"/>
        <v>-0.6374239897486897</v>
      </c>
      <c r="E162" s="5">
        <f t="shared" si="19"/>
        <v>0.8432500685321178</v>
      </c>
      <c r="F162" s="4">
        <f t="shared" si="14"/>
        <v>-0.06914184668910787</v>
      </c>
      <c r="G162" s="5">
        <f t="shared" si="15"/>
        <v>-18.01495842287887</v>
      </c>
      <c r="H162" s="4">
        <f t="shared" si="16"/>
        <v>1.287481323620537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5">
        <v>74</v>
      </c>
      <c r="B163" s="5">
        <f t="shared" si="17"/>
        <v>14.600000000000001</v>
      </c>
      <c r="C163" s="5">
        <f t="shared" si="13"/>
        <v>2.2933626371205493</v>
      </c>
      <c r="D163" s="4">
        <f t="shared" si="18"/>
        <v>-0.661311865323652</v>
      </c>
      <c r="E163" s="5">
        <f t="shared" si="19"/>
        <v>0.9826788484933394</v>
      </c>
      <c r="F163" s="4">
        <f t="shared" si="14"/>
        <v>-0.08057423630623478</v>
      </c>
      <c r="G163" s="5">
        <f t="shared" si="15"/>
        <v>-17.356105965412464</v>
      </c>
      <c r="H163" s="4">
        <f t="shared" si="16"/>
        <v>1.3136893290540415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5">
        <v>75</v>
      </c>
      <c r="B164" s="5">
        <f t="shared" si="17"/>
        <v>14.8</v>
      </c>
      <c r="C164" s="5">
        <f t="shared" si="13"/>
        <v>2.324778563656447</v>
      </c>
      <c r="D164" s="4">
        <f t="shared" si="18"/>
        <v>-0.6845471059286887</v>
      </c>
      <c r="E164" s="5">
        <f t="shared" si="19"/>
        <v>0.9792233889562376</v>
      </c>
      <c r="F164" s="4">
        <f t="shared" si="14"/>
        <v>-0.08029090771549942</v>
      </c>
      <c r="G164" s="5">
        <f t="shared" si="15"/>
        <v>-17.37126303952546</v>
      </c>
      <c r="H164" s="4">
        <f t="shared" si="16"/>
        <v>1.3130568032559675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5">
        <v>76</v>
      </c>
      <c r="B165" s="5">
        <f t="shared" si="17"/>
        <v>15</v>
      </c>
      <c r="C165" s="5">
        <f t="shared" si="13"/>
        <v>2.356194490192345</v>
      </c>
      <c r="D165" s="4">
        <f t="shared" si="18"/>
        <v>-0.7071067811865475</v>
      </c>
      <c r="E165" s="5">
        <f t="shared" si="19"/>
        <v>0.8314318597228009</v>
      </c>
      <c r="F165" s="4">
        <f t="shared" si="14"/>
        <v>-0.06817281886198172</v>
      </c>
      <c r="G165" s="5">
        <f t="shared" si="15"/>
        <v>-18.07577241449882</v>
      </c>
      <c r="H165" s="4">
        <f t="shared" si="16"/>
        <v>1.2851895505610986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5">
        <v>77</v>
      </c>
      <c r="B166" s="5">
        <f t="shared" si="17"/>
        <v>15.200000000000001</v>
      </c>
      <c r="C166" s="5">
        <f t="shared" si="13"/>
        <v>2.3876104167282426</v>
      </c>
      <c r="D166" s="4">
        <f t="shared" si="18"/>
        <v>-0.7289686274214113</v>
      </c>
      <c r="E166" s="5">
        <f t="shared" si="19"/>
        <v>0.5814418805225143</v>
      </c>
      <c r="F166" s="4">
        <f t="shared" si="14"/>
        <v>-0.04767502175445485</v>
      </c>
      <c r="G166" s="5">
        <f t="shared" si="15"/>
        <v>-19.618749818492574</v>
      </c>
      <c r="H166" s="4">
        <f t="shared" si="16"/>
        <v>1.2333568957933587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5">
        <v>78</v>
      </c>
      <c r="B167" s="5">
        <f t="shared" si="17"/>
        <v>15.4</v>
      </c>
      <c r="C167" s="5">
        <f t="shared" si="13"/>
        <v>2.419026343264141</v>
      </c>
      <c r="D167" s="4">
        <f t="shared" si="18"/>
        <v>-0.7501110696304596</v>
      </c>
      <c r="E167" s="5">
        <f t="shared" si="19"/>
        <v>0.30425614818743296</v>
      </c>
      <c r="F167" s="4">
        <f t="shared" si="14"/>
        <v>-0.024947323145569033</v>
      </c>
      <c r="G167" s="5">
        <f t="shared" si="15"/>
        <v>-22.420071278051946</v>
      </c>
      <c r="H167" s="4">
        <f t="shared" si="16"/>
        <v>1.1637590594671319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5">
        <v>79</v>
      </c>
      <c r="B168" s="5">
        <f t="shared" si="17"/>
        <v>15.600000000000001</v>
      </c>
      <c r="C168" s="5">
        <f t="shared" si="13"/>
        <v>2.450442269800039</v>
      </c>
      <c r="D168" s="4">
        <f t="shared" si="18"/>
        <v>-0.7705132427757894</v>
      </c>
      <c r="E168" s="5">
        <f t="shared" si="19"/>
        <v>0.08649024329574836</v>
      </c>
      <c r="F168" s="4">
        <f t="shared" si="14"/>
        <v>-0.007091722094334467</v>
      </c>
      <c r="G168" s="5">
        <f t="shared" si="15"/>
        <v>-27.87387140733649</v>
      </c>
      <c r="H168" s="4">
        <f t="shared" si="16"/>
        <v>1.084186611860582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5">
        <v>80</v>
      </c>
      <c r="B169" s="5">
        <f t="shared" si="17"/>
        <v>15.8</v>
      </c>
      <c r="C169" s="5">
        <f t="shared" si="13"/>
        <v>2.4818581963359367</v>
      </c>
      <c r="D169" s="4">
        <f t="shared" si="18"/>
        <v>-0.7901550123756904</v>
      </c>
      <c r="E169" s="5">
        <f t="shared" si="19"/>
        <v>8.784381767005552E-05</v>
      </c>
      <c r="F169" s="4">
        <f t="shared" si="14"/>
        <v>-7.202707714571135E-06</v>
      </c>
      <c r="G169" s="5">
        <f t="shared" si="15"/>
        <v>-57.80288879920066</v>
      </c>
      <c r="H169" s="4">
        <f t="shared" si="16"/>
        <v>1.0025789635840439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5">
        <v>81</v>
      </c>
      <c r="B170" s="5">
        <f t="shared" si="17"/>
        <v>16</v>
      </c>
      <c r="C170" s="5">
        <f t="shared" si="13"/>
        <v>2.5132741228718345</v>
      </c>
      <c r="D170" s="4">
        <f t="shared" si="18"/>
        <v>-0.8090169943749473</v>
      </c>
      <c r="E170" s="5">
        <f t="shared" si="19"/>
        <v>0.07839999999999968</v>
      </c>
      <c r="F170" s="4">
        <f t="shared" si="14"/>
        <v>-0.00642836684242685</v>
      </c>
      <c r="G170" s="5">
        <f t="shared" si="15"/>
        <v>-28.300050376646052</v>
      </c>
      <c r="H170" s="4">
        <f t="shared" si="16"/>
        <v>1.0799944117925766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5">
        <v>82</v>
      </c>
      <c r="B171" s="5">
        <f t="shared" si="17"/>
        <v>16.2</v>
      </c>
      <c r="C171" s="5">
        <f t="shared" si="13"/>
        <v>2.5446900494077322</v>
      </c>
      <c r="D171" s="4">
        <f t="shared" si="18"/>
        <v>-0.8270805742745617</v>
      </c>
      <c r="E171" s="5">
        <f t="shared" si="19"/>
        <v>0.3020405531920859</v>
      </c>
      <c r="F171" s="4">
        <f t="shared" si="14"/>
        <v>-0.024765656597044338</v>
      </c>
      <c r="G171" s="5">
        <f t="shared" si="15"/>
        <v>-22.4517215902689</v>
      </c>
      <c r="H171" s="4">
        <f t="shared" si="16"/>
        <v>1.1631148492738619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5">
        <v>83</v>
      </c>
      <c r="B172" s="5">
        <f t="shared" si="17"/>
        <v>16.400000000000002</v>
      </c>
      <c r="C172" s="5">
        <f t="shared" si="13"/>
        <v>2.576105975943631</v>
      </c>
      <c r="D172" s="4">
        <f t="shared" si="18"/>
        <v>-0.8443279255020153</v>
      </c>
      <c r="E172" s="5">
        <f t="shared" si="19"/>
        <v>0.5999179487493904</v>
      </c>
      <c r="F172" s="4">
        <f t="shared" si="14"/>
        <v>-0.049189957269353664</v>
      </c>
      <c r="G172" s="5">
        <f t="shared" si="15"/>
        <v>-19.483650424333682</v>
      </c>
      <c r="H172" s="4">
        <f t="shared" si="16"/>
        <v>1.2374491704907302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5">
        <v>84</v>
      </c>
      <c r="B173" s="5">
        <f t="shared" si="17"/>
        <v>16.6</v>
      </c>
      <c r="C173" s="5">
        <f t="shared" si="13"/>
        <v>2.6075219024795286</v>
      </c>
      <c r="D173" s="4">
        <f t="shared" si="18"/>
        <v>-0.8607420270039438</v>
      </c>
      <c r="E173" s="5">
        <f t="shared" si="19"/>
        <v>0.8671839651194215</v>
      </c>
      <c r="F173" s="4">
        <f t="shared" si="14"/>
        <v>-0.07110429397522901</v>
      </c>
      <c r="G173" s="5">
        <f t="shared" si="15"/>
        <v>-17.89438846917403</v>
      </c>
      <c r="H173" s="4">
        <f t="shared" si="16"/>
        <v>1.2920865732896998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5">
        <v>85</v>
      </c>
      <c r="B174" s="5">
        <f t="shared" si="17"/>
        <v>16.8</v>
      </c>
      <c r="C174" s="5">
        <f t="shared" si="13"/>
        <v>2.6389378290154264</v>
      </c>
      <c r="D174" s="4">
        <f t="shared" si="18"/>
        <v>-0.8763066800438636</v>
      </c>
      <c r="E174" s="5">
        <f t="shared" si="19"/>
        <v>0.9973638116015058</v>
      </c>
      <c r="F174" s="4">
        <f t="shared" si="14"/>
        <v>-0.08177832214713783</v>
      </c>
      <c r="G174" s="5">
        <f t="shared" si="15"/>
        <v>-17.29228615330808</v>
      </c>
      <c r="H174" s="4">
        <f t="shared" si="16"/>
        <v>1.316368590554092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5">
        <v>86</v>
      </c>
      <c r="B175" s="5">
        <f t="shared" si="17"/>
        <v>17</v>
      </c>
      <c r="C175" s="5">
        <f t="shared" si="13"/>
        <v>2.670353755551324</v>
      </c>
      <c r="D175" s="4">
        <f t="shared" si="18"/>
        <v>-0.8910065241883678</v>
      </c>
      <c r="E175" s="5">
        <f t="shared" si="19"/>
        <v>0.9217369770376779</v>
      </c>
      <c r="F175" s="4">
        <f t="shared" si="14"/>
        <v>-0.07557733954882387</v>
      </c>
      <c r="G175" s="5">
        <f t="shared" si="15"/>
        <v>-17.63166098258326</v>
      </c>
      <c r="H175" s="4">
        <f t="shared" si="16"/>
        <v>1.3024127780396935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5">
        <v>87</v>
      </c>
      <c r="B176" s="5">
        <f t="shared" si="17"/>
        <v>17.2</v>
      </c>
      <c r="C176" s="5">
        <f t="shared" si="13"/>
        <v>2.701769682087222</v>
      </c>
      <c r="D176" s="4">
        <f t="shared" si="18"/>
        <v>-0.9048270524660194</v>
      </c>
      <c r="E176" s="5">
        <f t="shared" si="19"/>
        <v>0.6462248640767295</v>
      </c>
      <c r="F176" s="4">
        <f t="shared" si="14"/>
        <v>-0.052986868481921724</v>
      </c>
      <c r="G176" s="5">
        <f t="shared" si="15"/>
        <v>-19.162627075624712</v>
      </c>
      <c r="H176" s="4">
        <f t="shared" si="16"/>
        <v>1.2474956089536657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5">
        <v>88</v>
      </c>
      <c r="B177" s="5">
        <f t="shared" si="17"/>
        <v>17.400000000000002</v>
      </c>
      <c r="C177" s="5">
        <f t="shared" si="13"/>
        <v>2.73318560862312</v>
      </c>
      <c r="D177" s="4">
        <f t="shared" si="18"/>
        <v>-0.9177546256839811</v>
      </c>
      <c r="E177" s="5">
        <f t="shared" si="19"/>
        <v>0.2754377322829264</v>
      </c>
      <c r="F177" s="4">
        <f t="shared" si="14"/>
        <v>-0.022584372262255292</v>
      </c>
      <c r="G177" s="5">
        <f t="shared" si="15"/>
        <v>-22.851050168111055</v>
      </c>
      <c r="H177" s="4">
        <f t="shared" si="16"/>
        <v>1.155216695894737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5">
        <v>89</v>
      </c>
      <c r="B178" s="5">
        <f t="shared" si="17"/>
        <v>17.6</v>
      </c>
      <c r="C178" s="5">
        <f t="shared" si="13"/>
        <v>2.7646015351590183</v>
      </c>
      <c r="D178" s="4">
        <f t="shared" si="18"/>
        <v>-0.9297764858882515</v>
      </c>
      <c r="E178" s="5">
        <f t="shared" si="19"/>
        <v>0.015473718929520848</v>
      </c>
      <c r="F178" s="4">
        <f t="shared" si="14"/>
        <v>-0.0012687594604026138</v>
      </c>
      <c r="G178" s="5">
        <f t="shared" si="15"/>
        <v>-35.34468454177926</v>
      </c>
      <c r="H178" s="4">
        <f t="shared" si="16"/>
        <v>1.0347762242186684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5">
        <v>90</v>
      </c>
      <c r="B179" s="5">
        <f t="shared" si="17"/>
        <v>17.8</v>
      </c>
      <c r="C179" s="5">
        <f t="shared" si="13"/>
        <v>2.796017461694916</v>
      </c>
      <c r="D179" s="4">
        <f t="shared" si="18"/>
        <v>-0.9408807689542255</v>
      </c>
      <c r="E179" s="5">
        <f t="shared" si="19"/>
        <v>0.1512761874466048</v>
      </c>
      <c r="F179" s="4">
        <f t="shared" si="14"/>
        <v>-0.012403811574368713</v>
      </c>
      <c r="G179" s="5">
        <f t="shared" si="15"/>
        <v>-25.448491939982304</v>
      </c>
      <c r="H179" s="4">
        <f t="shared" si="16"/>
        <v>1.1128342183917341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5">
        <v>91</v>
      </c>
      <c r="B180" s="5">
        <f t="shared" si="17"/>
        <v>18</v>
      </c>
      <c r="C180" s="5">
        <f t="shared" si="13"/>
        <v>2.827433388230814</v>
      </c>
      <c r="D180" s="4">
        <f t="shared" si="18"/>
        <v>-0.9510565162951535</v>
      </c>
      <c r="E180" s="5">
        <f t="shared" si="19"/>
        <v>1</v>
      </c>
      <c r="F180" s="4">
        <f t="shared" si="14"/>
        <v>-0.08199447503095506</v>
      </c>
      <c r="G180" s="5">
        <f t="shared" si="15"/>
        <v>-17.280929952175917</v>
      </c>
      <c r="H180" s="4">
        <f t="shared" si="16"/>
        <v>1.316848062965202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5">
        <v>92</v>
      </c>
      <c r="B181" s="5">
        <f t="shared" si="17"/>
        <v>18.2</v>
      </c>
      <c r="C181" s="5">
        <f t="shared" si="13"/>
        <v>2.8588493147667116</v>
      </c>
      <c r="D181" s="4">
        <f t="shared" si="18"/>
        <v>-0.960293685676943</v>
      </c>
      <c r="E181" s="5">
        <f t="shared" si="19"/>
        <v>2.8476713665899296</v>
      </c>
      <c r="F181" s="4">
        <f t="shared" si="14"/>
        <v>-0.23349331876422363</v>
      </c>
      <c r="G181" s="5">
        <f t="shared" si="15"/>
        <v>-12.811322142055591</v>
      </c>
      <c r="H181" s="4">
        <f t="shared" si="16"/>
        <v>1.5933217966724085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5">
        <v>93</v>
      </c>
      <c r="B182" s="5">
        <f t="shared" si="17"/>
        <v>18.400000000000002</v>
      </c>
      <c r="C182" s="5">
        <f t="shared" si="13"/>
        <v>2.89026524130261</v>
      </c>
      <c r="D182" s="4">
        <f t="shared" si="18"/>
        <v>-0.9685831611286312</v>
      </c>
      <c r="E182" s="5">
        <f t="shared" si="19"/>
        <v>5.881086649007226</v>
      </c>
      <c r="F182" s="4">
        <f t="shared" si="14"/>
        <v>-0.48221661239690616</v>
      </c>
      <c r="G182" s="5">
        <f t="shared" si="15"/>
        <v>-9.784299026027986</v>
      </c>
      <c r="H182" s="4">
        <f t="shared" si="16"/>
        <v>1.959364057233971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5">
        <v>94</v>
      </c>
      <c r="B183" s="5">
        <f t="shared" si="17"/>
        <v>18.6</v>
      </c>
      <c r="C183" s="5">
        <f t="shared" si="13"/>
        <v>2.921681167838508</v>
      </c>
      <c r="D183" s="4">
        <f t="shared" si="18"/>
        <v>-0.9759167619387474</v>
      </c>
      <c r="E183" s="5">
        <f t="shared" si="19"/>
        <v>10.129215794737076</v>
      </c>
      <c r="F183" s="4">
        <f t="shared" si="14"/>
        <v>-0.8305397315647248</v>
      </c>
      <c r="G183" s="5">
        <f t="shared" si="15"/>
        <v>-7.592892885560239</v>
      </c>
      <c r="H183" s="4">
        <f t="shared" si="16"/>
        <v>2.431771531540793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5">
        <v>95</v>
      </c>
      <c r="B184" s="5">
        <f t="shared" si="17"/>
        <v>18.8</v>
      </c>
      <c r="C184" s="5">
        <f t="shared" si="13"/>
        <v>2.9530970943744057</v>
      </c>
      <c r="D184" s="4">
        <f t="shared" si="18"/>
        <v>-0.9822872507286887</v>
      </c>
      <c r="E184" s="5">
        <f t="shared" si="19"/>
        <v>15.427668863319827</v>
      </c>
      <c r="F184" s="4">
        <f t="shared" si="14"/>
        <v>-1.2649836093993203</v>
      </c>
      <c r="G184" s="5">
        <f t="shared" si="15"/>
        <v>-5.974144445875266</v>
      </c>
      <c r="H184" s="4">
        <f t="shared" si="16"/>
        <v>3.021566500807503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5">
        <v>96</v>
      </c>
      <c r="B185" s="5">
        <f t="shared" si="17"/>
        <v>19</v>
      </c>
      <c r="C185" s="5">
        <f t="shared" si="13"/>
        <v>2.9845130209103035</v>
      </c>
      <c r="D185" s="4">
        <f t="shared" si="18"/>
        <v>-0.9876883405951377</v>
      </c>
      <c r="E185" s="5">
        <f t="shared" si="19"/>
        <v>21.416023948187604</v>
      </c>
      <c r="F185" s="4">
        <f t="shared" si="14"/>
        <v>-1.755995640882004</v>
      </c>
      <c r="G185" s="5">
        <f t="shared" si="15"/>
        <v>-4.781063178586714</v>
      </c>
      <c r="H185" s="4">
        <f t="shared" si="16"/>
        <v>3.724735378826997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5">
        <v>97</v>
      </c>
      <c r="B186" s="5">
        <f t="shared" si="17"/>
        <v>19.200000000000003</v>
      </c>
      <c r="C186" s="5">
        <f>PI()/2*B186/$G$6</f>
        <v>3.0159289474462017</v>
      </c>
      <c r="D186" s="4">
        <f t="shared" si="18"/>
        <v>-0.9921147013144779</v>
      </c>
      <c r="E186" s="5">
        <f t="shared" si="19"/>
        <v>27.571670938993297</v>
      </c>
      <c r="F186" s="4">
        <f t="shared" si="14"/>
        <v>-2.260724684368995</v>
      </c>
      <c r="G186" s="5">
        <f t="shared" si="15"/>
        <v>-3.9168046635550766</v>
      </c>
      <c r="H186" s="4">
        <f t="shared" si="16"/>
        <v>4.510094615437535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5">
        <v>98</v>
      </c>
      <c r="B187" s="5">
        <f t="shared" si="17"/>
        <v>19.400000000000002</v>
      </c>
      <c r="C187" s="5">
        <f>PI()/2*B187/$G$6</f>
        <v>3.0473448739820994</v>
      </c>
      <c r="D187" s="4">
        <f t="shared" si="18"/>
        <v>-0.99556196460308</v>
      </c>
      <c r="E187" s="5">
        <f t="shared" si="19"/>
        <v>33.27653439578512</v>
      </c>
      <c r="F187" s="4">
        <f t="shared" si="14"/>
        <v>-2.72849196863192</v>
      </c>
      <c r="G187" s="5">
        <f t="shared" si="15"/>
        <v>-3.311670845016516</v>
      </c>
      <c r="H187" s="4">
        <f t="shared" si="16"/>
        <v>5.309015369671403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5">
        <v>99</v>
      </c>
      <c r="B188" s="5">
        <f t="shared" si="17"/>
        <v>19.6</v>
      </c>
      <c r="C188" s="5">
        <f>PI()/2*B188/$G$6</f>
        <v>3.0787608005179976</v>
      </c>
      <c r="D188" s="4">
        <f t="shared" si="18"/>
        <v>-0.9980267284282716</v>
      </c>
      <c r="E188" s="5">
        <f t="shared" si="19"/>
        <v>37.9061413398797</v>
      </c>
      <c r="F188" s="4">
        <f t="shared" si="14"/>
        <v>-3.1080941596126195</v>
      </c>
      <c r="G188" s="5">
        <f t="shared" si="15"/>
        <v>-2.914659470109997</v>
      </c>
      <c r="H188" s="4">
        <f t="shared" si="16"/>
        <v>6.015962685674351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5">
        <v>100</v>
      </c>
      <c r="B189" s="5">
        <f t="shared" si="17"/>
        <v>19.8</v>
      </c>
      <c r="C189" s="5">
        <f>PI()/2*B189/$G$6</f>
        <v>3.1101767270538954</v>
      </c>
      <c r="D189" s="4">
        <f t="shared" si="18"/>
        <v>-0.9995065603657316</v>
      </c>
      <c r="E189" s="5">
        <f t="shared" si="19"/>
        <v>40.92550216706497</v>
      </c>
      <c r="F189" s="4">
        <f t="shared" si="14"/>
        <v>-3.3556650655667055</v>
      </c>
      <c r="G189" s="5">
        <f t="shared" si="15"/>
        <v>-2.69038773064013</v>
      </c>
      <c r="H189" s="4">
        <f t="shared" si="16"/>
        <v>6.5085211806730925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5">
        <v>101</v>
      </c>
      <c r="B190" s="5">
        <f t="shared" si="17"/>
        <v>20</v>
      </c>
      <c r="C190" s="5">
        <f>PI()/2*B190/$G$6</f>
        <v>3.141592653589793</v>
      </c>
      <c r="D190" s="4">
        <f t="shared" si="18"/>
        <v>-1</v>
      </c>
      <c r="E190" s="5">
        <f t="shared" si="19"/>
        <v>41.974307007966736</v>
      </c>
      <c r="F190" s="4">
        <f t="shared" si="14"/>
        <v>-3.4416612679063703</v>
      </c>
      <c r="G190" s="5">
        <f t="shared" si="15"/>
        <v>-2.617938905463167</v>
      </c>
      <c r="H190" s="4">
        <f t="shared" si="16"/>
        <v>6.685827903913813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5"/>
      <c r="C191" s="5"/>
      <c r="D191" s="4"/>
      <c r="E191" s="4"/>
      <c r="F191" s="4"/>
      <c r="G191" s="5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5"/>
      <c r="C192" s="5"/>
      <c r="D192" s="4"/>
      <c r="E192" s="4"/>
      <c r="F192" s="4"/>
      <c r="G192" s="5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5"/>
      <c r="C193" s="5"/>
      <c r="D193" s="4"/>
      <c r="E193" s="4"/>
      <c r="F193" s="4"/>
      <c r="G193" s="5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5"/>
      <c r="C194" s="5"/>
      <c r="D194" s="4"/>
      <c r="E194" s="4"/>
      <c r="F194" s="4"/>
      <c r="G194" s="5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5"/>
      <c r="C195" s="5"/>
      <c r="D195" s="4"/>
      <c r="E195" s="4"/>
      <c r="F195" s="4"/>
      <c r="G195" s="5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5"/>
      <c r="C196" s="5"/>
      <c r="D196" s="4"/>
      <c r="E196" s="4"/>
      <c r="F196" s="4"/>
      <c r="G196" s="5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5"/>
      <c r="C197" s="5"/>
      <c r="D197" s="4"/>
      <c r="E197" s="4"/>
      <c r="F197" s="4"/>
      <c r="G197" s="5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5"/>
      <c r="C198" s="5"/>
      <c r="D198" s="4"/>
      <c r="E198" s="4"/>
      <c r="F198" s="4"/>
      <c r="G198" s="5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5"/>
      <c r="C199" s="5"/>
      <c r="D199" s="4"/>
      <c r="E199" s="4"/>
      <c r="F199" s="4"/>
      <c r="G199" s="5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5"/>
      <c r="C200" s="5"/>
      <c r="D200" s="4"/>
      <c r="E200" s="4"/>
      <c r="F200" s="4"/>
      <c r="G200" s="5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16" ht="12.75">
      <c r="A201" s="4"/>
      <c r="B201" s="5"/>
      <c r="C201" s="5"/>
      <c r="D201" s="4"/>
      <c r="E201" s="4"/>
      <c r="F201" s="4"/>
      <c r="G201" s="5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2.75">
      <c r="A202" s="4"/>
      <c r="B202" s="5"/>
      <c r="C202" s="5"/>
      <c r="D202" s="4"/>
      <c r="E202" s="4"/>
      <c r="F202" s="4"/>
      <c r="G202" s="5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2.75">
      <c r="A203" s="4"/>
      <c r="B203" s="5"/>
      <c r="C203" s="5"/>
      <c r="D203" s="4"/>
      <c r="E203" s="4"/>
      <c r="F203" s="4"/>
      <c r="G203" s="5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2.75">
      <c r="A204" s="4"/>
      <c r="B204" s="5"/>
      <c r="C204" s="5"/>
      <c r="D204" s="4"/>
      <c r="E204" s="4"/>
      <c r="F204" s="4"/>
      <c r="G204" s="5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2.75">
      <c r="A205" s="4"/>
      <c r="B205" s="5"/>
      <c r="C205" s="5"/>
      <c r="D205" s="4"/>
      <c r="E205" s="4"/>
      <c r="F205" s="4"/>
      <c r="G205" s="5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2.75">
      <c r="A206" s="4"/>
      <c r="B206" s="5"/>
      <c r="C206" s="5"/>
      <c r="D206" s="4"/>
      <c r="E206" s="4"/>
      <c r="F206" s="4"/>
      <c r="G206" s="5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2.75">
      <c r="A207" s="4"/>
      <c r="B207" s="5"/>
      <c r="C207" s="5"/>
      <c r="D207" s="4"/>
      <c r="E207" s="4"/>
      <c r="F207" s="4"/>
      <c r="G207" s="5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2.75">
      <c r="A208" s="4"/>
      <c r="B208" s="5"/>
      <c r="C208" s="5"/>
      <c r="D208" s="4"/>
      <c r="E208" s="4"/>
      <c r="F208" s="4"/>
      <c r="G208" s="5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2.75">
      <c r="A209" s="4"/>
      <c r="B209" s="5"/>
      <c r="C209" s="5"/>
      <c r="D209" s="4"/>
      <c r="E209" s="4"/>
      <c r="F209" s="4"/>
      <c r="G209" s="5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2.75">
      <c r="A210" s="4"/>
      <c r="B210" s="5"/>
      <c r="C210" s="5"/>
      <c r="D210" s="4"/>
      <c r="E210" s="4"/>
      <c r="F210" s="4"/>
      <c r="G210" s="5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2.75">
      <c r="A211" s="4"/>
      <c r="B211" s="5"/>
      <c r="C211" s="5"/>
      <c r="D211" s="4"/>
      <c r="E211" s="4"/>
      <c r="F211" s="4"/>
      <c r="G211" s="5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2.75">
      <c r="A212" s="4"/>
      <c r="B212" s="5"/>
      <c r="C212" s="5"/>
      <c r="D212" s="4"/>
      <c r="E212" s="4"/>
      <c r="F212" s="4"/>
      <c r="G212" s="5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2.75">
      <c r="A213" s="4"/>
      <c r="B213" s="5"/>
      <c r="C213" s="5"/>
      <c r="D213" s="4"/>
      <c r="E213" s="4"/>
      <c r="F213" s="4"/>
      <c r="G213" s="5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2.75">
      <c r="A214" s="4"/>
      <c r="B214" s="5"/>
      <c r="C214" s="5"/>
      <c r="D214" s="4"/>
      <c r="E214" s="4"/>
      <c r="F214" s="4"/>
      <c r="G214" s="5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2.75">
      <c r="A215" s="4"/>
      <c r="B215" s="5"/>
      <c r="C215" s="5"/>
      <c r="D215" s="4"/>
      <c r="E215" s="4"/>
      <c r="F215" s="4"/>
      <c r="G215" s="5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2.75">
      <c r="A216" s="4"/>
      <c r="B216" s="5"/>
      <c r="C216" s="5"/>
      <c r="D216" s="4"/>
      <c r="E216" s="4"/>
      <c r="F216" s="4"/>
      <c r="G216" s="5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2.75">
      <c r="A217" s="4"/>
      <c r="B217" s="5"/>
      <c r="C217" s="5"/>
      <c r="D217" s="4"/>
      <c r="E217" s="4"/>
      <c r="F217" s="4"/>
      <c r="G217" s="5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2.75">
      <c r="A218" s="4"/>
      <c r="B218" s="5"/>
      <c r="C218" s="5"/>
      <c r="D218" s="4"/>
      <c r="E218" s="4"/>
      <c r="F218" s="4"/>
      <c r="G218" s="5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2.75">
      <c r="A219" s="4"/>
      <c r="B219" s="5"/>
      <c r="C219" s="5"/>
      <c r="D219" s="4"/>
      <c r="E219" s="4"/>
      <c r="F219" s="4"/>
      <c r="G219" s="5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2.75">
      <c r="A220" s="4"/>
      <c r="B220" s="5"/>
      <c r="C220" s="5"/>
      <c r="D220" s="4"/>
      <c r="E220" s="4"/>
      <c r="F220" s="4"/>
      <c r="G220" s="5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2.75">
      <c r="A221" s="4"/>
      <c r="B221" s="5"/>
      <c r="C221" s="5"/>
      <c r="D221" s="4"/>
      <c r="E221" s="4"/>
      <c r="F221" s="4"/>
      <c r="G221" s="5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2.75">
      <c r="A222" s="4"/>
      <c r="B222" s="5"/>
      <c r="C222" s="5"/>
      <c r="D222" s="4"/>
      <c r="E222" s="4"/>
      <c r="F222" s="4"/>
      <c r="G222" s="5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2.75">
      <c r="A223" s="4"/>
      <c r="B223" s="5"/>
      <c r="C223" s="5"/>
      <c r="D223" s="4"/>
      <c r="E223" s="4"/>
      <c r="F223" s="4"/>
      <c r="G223" s="5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2.75">
      <c r="A224" s="4"/>
      <c r="B224" s="5"/>
      <c r="C224" s="5"/>
      <c r="D224" s="4"/>
      <c r="E224" s="4"/>
      <c r="F224" s="4"/>
      <c r="G224" s="5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2.75">
      <c r="A225" s="4"/>
      <c r="B225" s="5"/>
      <c r="C225" s="5"/>
      <c r="D225" s="4"/>
      <c r="E225" s="4"/>
      <c r="F225" s="4"/>
      <c r="G225" s="5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2.75">
      <c r="A226" s="4"/>
      <c r="B226" s="5"/>
      <c r="C226" s="5"/>
      <c r="D226" s="4"/>
      <c r="E226" s="4"/>
      <c r="F226" s="4"/>
      <c r="G226" s="5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2.75">
      <c r="A227" s="4"/>
      <c r="B227" s="5"/>
      <c r="C227" s="5"/>
      <c r="D227" s="4"/>
      <c r="E227" s="4"/>
      <c r="F227" s="4"/>
      <c r="G227" s="5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2.75">
      <c r="A228" s="4"/>
      <c r="B228" s="5"/>
      <c r="C228" s="5"/>
      <c r="D228" s="4"/>
      <c r="E228" s="4"/>
      <c r="F228" s="4"/>
      <c r="G228" s="5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2.75">
      <c r="A229" s="4"/>
      <c r="B229" s="5"/>
      <c r="C229" s="5"/>
      <c r="D229" s="4"/>
      <c r="E229" s="4"/>
      <c r="F229" s="4"/>
      <c r="G229" s="5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2.75">
      <c r="A230" s="4"/>
      <c r="B230" s="5"/>
      <c r="C230" s="5"/>
      <c r="D230" s="4"/>
      <c r="E230" s="4"/>
      <c r="F230" s="4"/>
      <c r="G230" s="5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2.75">
      <c r="A231" s="4"/>
      <c r="B231" s="5"/>
      <c r="C231" s="5"/>
      <c r="D231" s="4"/>
      <c r="E231" s="4"/>
      <c r="F231" s="4"/>
      <c r="G231" s="5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2.75">
      <c r="A232" s="4"/>
      <c r="B232" s="5"/>
      <c r="C232" s="5"/>
      <c r="D232" s="4"/>
      <c r="E232" s="4"/>
      <c r="F232" s="4"/>
      <c r="G232" s="5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2.75">
      <c r="A233" s="4"/>
      <c r="B233" s="5"/>
      <c r="C233" s="5"/>
      <c r="D233" s="4"/>
      <c r="E233" s="4"/>
      <c r="F233" s="4"/>
      <c r="G233" s="5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2.75">
      <c r="A234" s="4"/>
      <c r="B234" s="5"/>
      <c r="C234" s="5"/>
      <c r="D234" s="4"/>
      <c r="E234" s="4"/>
      <c r="F234" s="4"/>
      <c r="G234" s="5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2.75">
      <c r="A235" s="4"/>
      <c r="B235" s="5"/>
      <c r="C235" s="5"/>
      <c r="D235" s="4"/>
      <c r="E235" s="4"/>
      <c r="F235" s="4"/>
      <c r="G235" s="5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2.75">
      <c r="A236" s="4"/>
      <c r="B236" s="5"/>
      <c r="C236" s="5"/>
      <c r="D236" s="4"/>
      <c r="E236" s="4"/>
      <c r="F236" s="4"/>
      <c r="G236" s="5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2.75">
      <c r="A237" s="4"/>
      <c r="B237" s="5"/>
      <c r="C237" s="5"/>
      <c r="D237" s="4"/>
      <c r="E237" s="4"/>
      <c r="F237" s="4"/>
      <c r="G237" s="5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2.75">
      <c r="A238" s="4"/>
      <c r="B238" s="5"/>
      <c r="C238" s="5"/>
      <c r="D238" s="4"/>
      <c r="E238" s="4"/>
      <c r="F238" s="4"/>
      <c r="G238" s="5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2.75">
      <c r="A239" s="4"/>
      <c r="B239" s="5"/>
      <c r="C239" s="5"/>
      <c r="D239" s="4"/>
      <c r="E239" s="4"/>
      <c r="F239" s="4"/>
      <c r="G239" s="5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2.75">
      <c r="A240" s="4"/>
      <c r="B240" s="5"/>
      <c r="C240" s="5"/>
      <c r="D240" s="4"/>
      <c r="E240" s="4"/>
      <c r="F240" s="4"/>
      <c r="G240" s="5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2.75">
      <c r="A241" s="4"/>
      <c r="B241" s="5"/>
      <c r="C241" s="5"/>
      <c r="D241" s="4"/>
      <c r="E241" s="4"/>
      <c r="F241" s="4"/>
      <c r="G241" s="5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2.75">
      <c r="A242" s="4"/>
      <c r="B242" s="5"/>
      <c r="C242" s="5"/>
      <c r="D242" s="4"/>
      <c r="E242" s="4"/>
      <c r="F242" s="4"/>
      <c r="G242" s="5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2.75">
      <c r="A243" s="4"/>
      <c r="B243" s="5"/>
      <c r="C243" s="5"/>
      <c r="D243" s="4"/>
      <c r="E243" s="4"/>
      <c r="F243" s="4"/>
      <c r="G243" s="5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2.75">
      <c r="A244" s="4"/>
      <c r="B244" s="5"/>
      <c r="C244" s="5"/>
      <c r="D244" s="4"/>
      <c r="E244" s="4"/>
      <c r="F244" s="4"/>
      <c r="G244" s="5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2.75">
      <c r="A245" s="4"/>
      <c r="B245" s="5"/>
      <c r="C245" s="5"/>
      <c r="D245" s="4"/>
      <c r="E245" s="4"/>
      <c r="F245" s="4"/>
      <c r="G245" s="5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2.75">
      <c r="A246" s="4"/>
      <c r="B246" s="5"/>
      <c r="C246" s="5"/>
      <c r="D246" s="4"/>
      <c r="E246" s="4"/>
      <c r="F246" s="4"/>
      <c r="G246" s="5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2.75">
      <c r="A247" s="4"/>
      <c r="B247" s="5"/>
      <c r="C247" s="5"/>
      <c r="D247" s="4"/>
      <c r="E247" s="4"/>
      <c r="F247" s="4"/>
      <c r="G247" s="5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2.75">
      <c r="A248" s="4"/>
      <c r="B248" s="5"/>
      <c r="C248" s="5"/>
      <c r="D248" s="4"/>
      <c r="E248" s="4"/>
      <c r="F248" s="4"/>
      <c r="G248" s="5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2.75">
      <c r="A249" s="4"/>
      <c r="B249" s="5"/>
      <c r="C249" s="5"/>
      <c r="D249" s="4"/>
      <c r="E249" s="4"/>
      <c r="F249" s="4"/>
      <c r="G249" s="5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2.75">
      <c r="A250" s="4"/>
      <c r="B250" s="5"/>
      <c r="C250" s="5"/>
      <c r="D250" s="4"/>
      <c r="E250" s="4"/>
      <c r="F250" s="4"/>
      <c r="G250" s="5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2.75">
      <c r="A251" s="4"/>
      <c r="B251" s="5"/>
      <c r="C251" s="5"/>
      <c r="D251" s="4"/>
      <c r="E251" s="4"/>
      <c r="F251" s="4"/>
      <c r="G251" s="5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2.75">
      <c r="A252" s="4"/>
      <c r="B252" s="5"/>
      <c r="C252" s="5"/>
      <c r="D252" s="4"/>
      <c r="E252" s="4"/>
      <c r="F252" s="4"/>
      <c r="G252" s="5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2.75">
      <c r="A253" s="4"/>
      <c r="B253" s="5"/>
      <c r="C253" s="5"/>
      <c r="D253" s="4"/>
      <c r="E253" s="4"/>
      <c r="F253" s="4"/>
      <c r="G253" s="5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2.75">
      <c r="A254" s="4"/>
      <c r="B254" s="5"/>
      <c r="C254" s="5"/>
      <c r="D254" s="4"/>
      <c r="E254" s="4"/>
      <c r="F254" s="4"/>
      <c r="G254" s="5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2.75">
      <c r="A255" s="4"/>
      <c r="B255" s="5"/>
      <c r="C255" s="5"/>
      <c r="D255" s="4"/>
      <c r="E255" s="4"/>
      <c r="F255" s="4"/>
      <c r="G255" s="5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2.75">
      <c r="A256" s="4"/>
      <c r="B256" s="5"/>
      <c r="C256" s="5"/>
      <c r="D256" s="4"/>
      <c r="E256" s="4"/>
      <c r="F256" s="4"/>
      <c r="G256" s="5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2.75">
      <c r="A257" s="4"/>
      <c r="B257" s="5"/>
      <c r="C257" s="5"/>
      <c r="D257" s="4"/>
      <c r="E257" s="4"/>
      <c r="F257" s="4"/>
      <c r="G257" s="5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2.75">
      <c r="A258" s="4"/>
      <c r="B258" s="5"/>
      <c r="C258" s="5"/>
      <c r="D258" s="4"/>
      <c r="E258" s="4"/>
      <c r="F258" s="4"/>
      <c r="G258" s="5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2.75">
      <c r="A259" s="4"/>
      <c r="B259" s="5"/>
      <c r="C259" s="5"/>
      <c r="D259" s="4"/>
      <c r="E259" s="4"/>
      <c r="F259" s="4"/>
      <c r="G259" s="5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2.75">
      <c r="A260" s="4"/>
      <c r="B260" s="5"/>
      <c r="C260" s="5"/>
      <c r="D260" s="4"/>
      <c r="E260" s="4"/>
      <c r="F260" s="4"/>
      <c r="G260" s="5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2.75">
      <c r="A261" s="4"/>
      <c r="B261" s="5"/>
      <c r="C261" s="5"/>
      <c r="D261" s="4"/>
      <c r="E261" s="4"/>
      <c r="F261" s="4"/>
      <c r="G261" s="5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2.75">
      <c r="A262" s="4"/>
      <c r="B262" s="5"/>
      <c r="C262" s="5"/>
      <c r="D262" s="4"/>
      <c r="E262" s="4"/>
      <c r="F262" s="4"/>
      <c r="G262" s="5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2.75">
      <c r="A263" s="4"/>
      <c r="B263" s="5"/>
      <c r="C263" s="5"/>
      <c r="D263" s="4"/>
      <c r="E263" s="4"/>
      <c r="F263" s="4"/>
      <c r="G263" s="5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2.75">
      <c r="A264" s="4"/>
      <c r="B264" s="5"/>
      <c r="C264" s="5"/>
      <c r="D264" s="4"/>
      <c r="E264" s="4"/>
      <c r="F264" s="4"/>
      <c r="G264" s="5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2.75">
      <c r="A265" s="4"/>
      <c r="B265" s="5"/>
      <c r="C265" s="5"/>
      <c r="D265" s="4"/>
      <c r="E265" s="4"/>
      <c r="F265" s="4"/>
      <c r="G265" s="5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2.75">
      <c r="A266" s="4"/>
      <c r="B266" s="5"/>
      <c r="C266" s="5"/>
      <c r="D266" s="4"/>
      <c r="E266" s="4"/>
      <c r="F266" s="4"/>
      <c r="G266" s="5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2.75">
      <c r="A267" s="4"/>
      <c r="B267" s="5"/>
      <c r="C267" s="5"/>
      <c r="D267" s="4"/>
      <c r="E267" s="4"/>
      <c r="F267" s="4"/>
      <c r="G267" s="5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2.75">
      <c r="A268" s="4"/>
      <c r="B268" s="5"/>
      <c r="C268" s="5"/>
      <c r="D268" s="4"/>
      <c r="E268" s="4"/>
      <c r="F268" s="4"/>
      <c r="G268" s="5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2.75">
      <c r="A269" s="4"/>
      <c r="B269" s="5"/>
      <c r="C269" s="5"/>
      <c r="D269" s="4"/>
      <c r="E269" s="4"/>
      <c r="F269" s="4"/>
      <c r="G269" s="5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2.75">
      <c r="A270" s="4"/>
      <c r="B270" s="5"/>
      <c r="C270" s="5"/>
      <c r="D270" s="4"/>
      <c r="E270" s="4"/>
      <c r="F270" s="4"/>
      <c r="G270" s="5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2.75">
      <c r="A271" s="4"/>
      <c r="B271" s="5"/>
      <c r="C271" s="5"/>
      <c r="D271" s="4"/>
      <c r="E271" s="4"/>
      <c r="F271" s="4"/>
      <c r="G271" s="5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2.75">
      <c r="A272" s="4"/>
      <c r="B272" s="5"/>
      <c r="C272" s="5"/>
      <c r="D272" s="4"/>
      <c r="E272" s="4"/>
      <c r="F272" s="4"/>
      <c r="G272" s="5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2.75">
      <c r="A273" s="4"/>
      <c r="B273" s="5"/>
      <c r="C273" s="5"/>
      <c r="D273" s="4"/>
      <c r="E273" s="4"/>
      <c r="F273" s="4"/>
      <c r="G273" s="5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2.75">
      <c r="A274" s="4"/>
      <c r="B274" s="5"/>
      <c r="C274" s="5"/>
      <c r="D274" s="4"/>
      <c r="E274" s="4"/>
      <c r="F274" s="4"/>
      <c r="G274" s="5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2.75">
      <c r="A275" s="4"/>
      <c r="B275" s="5"/>
      <c r="C275" s="5"/>
      <c r="D275" s="4"/>
      <c r="E275" s="4"/>
      <c r="F275" s="4"/>
      <c r="G275" s="5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2.75">
      <c r="A276" s="4"/>
      <c r="B276" s="5"/>
      <c r="C276" s="5"/>
      <c r="D276" s="4"/>
      <c r="E276" s="4"/>
      <c r="F276" s="4"/>
      <c r="G276" s="5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2.75">
      <c r="A277" s="4"/>
      <c r="B277" s="5"/>
      <c r="C277" s="5"/>
      <c r="D277" s="4"/>
      <c r="E277" s="4"/>
      <c r="F277" s="4"/>
      <c r="G277" s="5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2.75">
      <c r="A278" s="4"/>
      <c r="B278" s="5"/>
      <c r="C278" s="5"/>
      <c r="D278" s="4"/>
      <c r="E278" s="4"/>
      <c r="F278" s="4"/>
      <c r="G278" s="5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2.75">
      <c r="A279" s="4"/>
      <c r="B279" s="5"/>
      <c r="C279" s="5"/>
      <c r="D279" s="4"/>
      <c r="E279" s="4"/>
      <c r="F279" s="4"/>
      <c r="G279" s="5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2.75">
      <c r="A280" s="4"/>
      <c r="B280" s="5"/>
      <c r="C280" s="5"/>
      <c r="D280" s="4"/>
      <c r="E280" s="4"/>
      <c r="F280" s="4"/>
      <c r="G280" s="5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2.75">
      <c r="A281" s="4"/>
      <c r="B281" s="5"/>
      <c r="C281" s="5"/>
      <c r="D281" s="4"/>
      <c r="E281" s="4"/>
      <c r="F281" s="4"/>
      <c r="G281" s="5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2.75">
      <c r="A282" s="4"/>
      <c r="B282" s="5"/>
      <c r="C282" s="5"/>
      <c r="D282" s="4"/>
      <c r="E282" s="4"/>
      <c r="F282" s="4"/>
      <c r="G282" s="5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2.75">
      <c r="A283" s="4"/>
      <c r="B283" s="5"/>
      <c r="C283" s="5"/>
      <c r="D283" s="4"/>
      <c r="E283" s="4"/>
      <c r="F283" s="4"/>
      <c r="G283" s="5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2.75">
      <c r="A284" s="4"/>
      <c r="B284" s="5"/>
      <c r="C284" s="5"/>
      <c r="D284" s="4"/>
      <c r="E284" s="4"/>
      <c r="F284" s="4"/>
      <c r="G284" s="5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2.75">
      <c r="A285" s="4"/>
      <c r="B285" s="5"/>
      <c r="C285" s="5"/>
      <c r="D285" s="4"/>
      <c r="E285" s="4"/>
      <c r="F285" s="4"/>
      <c r="G285" s="5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2.75">
      <c r="A286" s="4"/>
      <c r="B286" s="5"/>
      <c r="C286" s="5"/>
      <c r="D286" s="4"/>
      <c r="E286" s="4"/>
      <c r="F286" s="4"/>
      <c r="G286" s="5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2.75">
      <c r="A287" s="4"/>
      <c r="B287" s="5"/>
      <c r="C287" s="5"/>
      <c r="D287" s="4"/>
      <c r="E287" s="4"/>
      <c r="F287" s="4"/>
      <c r="G287" s="5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2.75">
      <c r="A288" s="4"/>
      <c r="B288" s="5"/>
      <c r="C288" s="5"/>
      <c r="D288" s="4"/>
      <c r="E288" s="4"/>
      <c r="F288" s="4"/>
      <c r="G288" s="5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2.75">
      <c r="A289" s="4"/>
      <c r="B289" s="5"/>
      <c r="C289" s="5"/>
      <c r="D289" s="4"/>
      <c r="E289" s="4"/>
      <c r="F289" s="4"/>
      <c r="G289" s="5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2.75">
      <c r="A290" s="4"/>
      <c r="B290" s="5"/>
      <c r="C290" s="5"/>
      <c r="D290" s="4"/>
      <c r="E290" s="4"/>
      <c r="F290" s="4"/>
      <c r="G290" s="5"/>
      <c r="H290" s="4"/>
      <c r="I290" s="4"/>
      <c r="J290" s="4"/>
      <c r="K290" s="4"/>
      <c r="L290" s="4"/>
      <c r="M290" s="4"/>
      <c r="N290" s="4"/>
      <c r="O290" s="4"/>
      <c r="P290" s="4"/>
    </row>
    <row r="291" spans="1:16" ht="12.75">
      <c r="A291" s="4"/>
      <c r="B291" s="5"/>
      <c r="C291" s="5"/>
      <c r="D291" s="4"/>
      <c r="E291" s="4"/>
      <c r="F291" s="4"/>
      <c r="G291" s="5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2.75">
      <c r="A292" s="4"/>
      <c r="B292" s="5"/>
      <c r="C292" s="5"/>
      <c r="D292" s="4"/>
      <c r="E292" s="4"/>
      <c r="F292" s="4"/>
      <c r="G292" s="5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12.75">
      <c r="A293" s="4"/>
      <c r="B293" s="5"/>
      <c r="C293" s="5"/>
      <c r="D293" s="4"/>
      <c r="E293" s="4"/>
      <c r="F293" s="4"/>
      <c r="G293" s="5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12.75">
      <c r="A294" s="4"/>
      <c r="B294" s="5"/>
      <c r="C294" s="5"/>
      <c r="D294" s="4"/>
      <c r="E294" s="4"/>
      <c r="F294" s="4"/>
      <c r="G294" s="5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12.75">
      <c r="A295" s="4"/>
      <c r="B295" s="5"/>
      <c r="C295" s="5"/>
      <c r="D295" s="4"/>
      <c r="E295" s="4"/>
      <c r="F295" s="4"/>
      <c r="G295" s="5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12.75">
      <c r="A296" s="4"/>
      <c r="B296" s="5"/>
      <c r="C296" s="5"/>
      <c r="D296" s="4"/>
      <c r="E296" s="4"/>
      <c r="F296" s="4"/>
      <c r="G296" s="5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12.75">
      <c r="A297" s="4"/>
      <c r="B297" s="5"/>
      <c r="C297" s="5"/>
      <c r="D297" s="4"/>
      <c r="E297" s="4"/>
      <c r="F297" s="4"/>
      <c r="G297" s="5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12.75">
      <c r="A298" s="4"/>
      <c r="B298" s="5"/>
      <c r="C298" s="5"/>
      <c r="D298" s="4"/>
      <c r="E298" s="4"/>
      <c r="F298" s="4"/>
      <c r="G298" s="5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12.75">
      <c r="A299" s="4"/>
      <c r="B299" s="5"/>
      <c r="C299" s="5"/>
      <c r="D299" s="4"/>
      <c r="E299" s="4"/>
      <c r="F299" s="4"/>
      <c r="G299" s="5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12.75">
      <c r="A300" s="4"/>
      <c r="B300" s="5"/>
      <c r="C300" s="5"/>
      <c r="D300" s="4"/>
      <c r="E300" s="4"/>
      <c r="F300" s="4"/>
      <c r="G300" s="5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12.75">
      <c r="A301" s="4"/>
      <c r="B301" s="5"/>
      <c r="C301" s="5"/>
      <c r="D301" s="4"/>
      <c r="E301" s="4"/>
      <c r="F301" s="4"/>
      <c r="G301" s="5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12.75">
      <c r="A302" s="4"/>
      <c r="B302" s="5"/>
      <c r="C302" s="5"/>
      <c r="D302" s="4"/>
      <c r="E302" s="4"/>
      <c r="F302" s="4"/>
      <c r="G302" s="5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12.75">
      <c r="A303" s="4"/>
      <c r="B303" s="5"/>
      <c r="C303" s="5"/>
      <c r="D303" s="4"/>
      <c r="E303" s="4"/>
      <c r="F303" s="4"/>
      <c r="G303" s="5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12.75">
      <c r="A304" s="4"/>
      <c r="B304" s="5"/>
      <c r="C304" s="5"/>
      <c r="D304" s="4"/>
      <c r="E304" s="4"/>
      <c r="F304" s="4"/>
      <c r="G304" s="5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12.75">
      <c r="A305" s="4"/>
      <c r="B305" s="5"/>
      <c r="C305" s="5"/>
      <c r="D305" s="4"/>
      <c r="E305" s="4"/>
      <c r="F305" s="4"/>
      <c r="G305" s="5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12.75">
      <c r="A306" s="4"/>
      <c r="B306" s="5"/>
      <c r="C306" s="5"/>
      <c r="D306" s="4"/>
      <c r="E306" s="4"/>
      <c r="F306" s="4"/>
      <c r="G306" s="5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12.75">
      <c r="A307" s="4"/>
      <c r="B307" s="5"/>
      <c r="C307" s="5"/>
      <c r="D307" s="4"/>
      <c r="E307" s="4"/>
      <c r="F307" s="4"/>
      <c r="G307" s="5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12.75">
      <c r="A308" s="4"/>
      <c r="B308" s="5"/>
      <c r="C308" s="5"/>
      <c r="D308" s="4"/>
      <c r="E308" s="4"/>
      <c r="F308" s="4"/>
      <c r="G308" s="5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12.75">
      <c r="A309" s="4"/>
      <c r="B309" s="5"/>
      <c r="C309" s="5"/>
      <c r="D309" s="4"/>
      <c r="E309" s="4"/>
      <c r="F309" s="4"/>
      <c r="G309" s="5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12.75">
      <c r="A310" s="4"/>
      <c r="B310" s="5"/>
      <c r="C310" s="5"/>
      <c r="D310" s="4"/>
      <c r="E310" s="4"/>
      <c r="F310" s="4"/>
      <c r="G310" s="5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12.75">
      <c r="A311" s="4"/>
      <c r="B311" s="5"/>
      <c r="C311" s="5"/>
      <c r="D311" s="4"/>
      <c r="E311" s="4"/>
      <c r="F311" s="4"/>
      <c r="G311" s="5"/>
      <c r="H311" s="4"/>
      <c r="I311" s="4"/>
      <c r="J311" s="4"/>
      <c r="K311" s="4"/>
      <c r="L311" s="4"/>
      <c r="M311" s="4"/>
      <c r="N311" s="4"/>
      <c r="O311" s="4"/>
      <c r="P311" s="4"/>
    </row>
    <row r="312" spans="1:16" ht="12.75">
      <c r="A312" s="4"/>
      <c r="B312" s="5"/>
      <c r="C312" s="5"/>
      <c r="D312" s="4"/>
      <c r="E312" s="4"/>
      <c r="F312" s="4"/>
      <c r="G312" s="5"/>
      <c r="H312" s="4"/>
      <c r="I312" s="4"/>
      <c r="J312" s="4"/>
      <c r="K312" s="4"/>
      <c r="L312" s="4"/>
      <c r="M312" s="4"/>
      <c r="N312" s="4"/>
      <c r="O312" s="4"/>
      <c r="P312" s="4"/>
    </row>
    <row r="313" spans="1:16" ht="12.75">
      <c r="A313" s="4"/>
      <c r="B313" s="5"/>
      <c r="C313" s="5"/>
      <c r="D313" s="4"/>
      <c r="E313" s="4"/>
      <c r="F313" s="4"/>
      <c r="G313" s="5"/>
      <c r="H313" s="4"/>
      <c r="I313" s="4"/>
      <c r="J313" s="4"/>
      <c r="K313" s="4"/>
      <c r="L313" s="4"/>
      <c r="M313" s="4"/>
      <c r="N313" s="4"/>
      <c r="O313" s="4"/>
      <c r="P313" s="4"/>
    </row>
    <row r="314" spans="1:16" ht="12.75">
      <c r="A314" s="4"/>
      <c r="B314" s="5"/>
      <c r="C314" s="5"/>
      <c r="D314" s="4"/>
      <c r="E314" s="4"/>
      <c r="F314" s="4"/>
      <c r="G314" s="5"/>
      <c r="H314" s="4"/>
      <c r="I314" s="4"/>
      <c r="J314" s="4"/>
      <c r="K314" s="4"/>
      <c r="L314" s="4"/>
      <c r="M314" s="4"/>
      <c r="N314" s="4"/>
      <c r="O314" s="4"/>
      <c r="P314" s="4"/>
    </row>
    <row r="315" spans="1:16" ht="12.75">
      <c r="A315" s="4"/>
      <c r="B315" s="5"/>
      <c r="C315" s="5"/>
      <c r="D315" s="4"/>
      <c r="E315" s="4"/>
      <c r="F315" s="4"/>
      <c r="G315" s="5"/>
      <c r="H315" s="4"/>
      <c r="I315" s="4"/>
      <c r="J315" s="4"/>
      <c r="K315" s="4"/>
      <c r="L315" s="4"/>
      <c r="M315" s="4"/>
      <c r="N315" s="4"/>
      <c r="O315" s="4"/>
      <c r="P315" s="4"/>
    </row>
    <row r="316" spans="1:16" ht="12.75">
      <c r="A316" s="4"/>
      <c r="B316" s="5"/>
      <c r="C316" s="5"/>
      <c r="D316" s="4"/>
      <c r="E316" s="4"/>
      <c r="F316" s="4"/>
      <c r="G316" s="5"/>
      <c r="H316" s="4"/>
      <c r="I316" s="4"/>
      <c r="J316" s="4"/>
      <c r="K316" s="4"/>
      <c r="L316" s="4"/>
      <c r="M316" s="4"/>
      <c r="N316" s="4"/>
      <c r="O316" s="4"/>
      <c r="P316" s="4"/>
    </row>
    <row r="317" spans="1:16" ht="12.75">
      <c r="A317" s="4"/>
      <c r="B317" s="5"/>
      <c r="C317" s="5"/>
      <c r="D317" s="4"/>
      <c r="E317" s="4"/>
      <c r="F317" s="4"/>
      <c r="G317" s="5"/>
      <c r="H317" s="4"/>
      <c r="I317" s="4"/>
      <c r="J317" s="4"/>
      <c r="K317" s="4"/>
      <c r="L317" s="4"/>
      <c r="M317" s="4"/>
      <c r="N317" s="4"/>
      <c r="O317" s="4"/>
      <c r="P317" s="4"/>
    </row>
    <row r="318" spans="1:16" ht="12.75">
      <c r="A318" s="4"/>
      <c r="B318" s="5"/>
      <c r="C318" s="5"/>
      <c r="D318" s="4"/>
      <c r="E318" s="4"/>
      <c r="F318" s="4"/>
      <c r="G318" s="5"/>
      <c r="H318" s="4"/>
      <c r="I318" s="4"/>
      <c r="J318" s="4"/>
      <c r="K318" s="4"/>
      <c r="L318" s="4"/>
      <c r="M318" s="4"/>
      <c r="N318" s="4"/>
      <c r="O318" s="4"/>
      <c r="P318" s="4"/>
    </row>
    <row r="319" spans="1:16" ht="12.75">
      <c r="A319" s="4"/>
      <c r="B319" s="5"/>
      <c r="C319" s="5"/>
      <c r="D319" s="4"/>
      <c r="E319" s="4"/>
      <c r="F319" s="4"/>
      <c r="G319" s="5"/>
      <c r="H319" s="4"/>
      <c r="I319" s="4"/>
      <c r="J319" s="4"/>
      <c r="K319" s="4"/>
      <c r="L319" s="4"/>
      <c r="M319" s="4"/>
      <c r="N319" s="4"/>
      <c r="O319" s="4"/>
      <c r="P319" s="4"/>
    </row>
    <row r="320" spans="1:16" ht="12.75">
      <c r="A320" s="4"/>
      <c r="B320" s="5"/>
      <c r="C320" s="5"/>
      <c r="D320" s="4"/>
      <c r="E320" s="4"/>
      <c r="F320" s="4"/>
      <c r="G320" s="5"/>
      <c r="H320" s="4"/>
      <c r="I320" s="4"/>
      <c r="J320" s="4"/>
      <c r="K320" s="4"/>
      <c r="L320" s="4"/>
      <c r="M320" s="4"/>
      <c r="N320" s="4"/>
      <c r="O320" s="4"/>
      <c r="P320" s="4"/>
    </row>
    <row r="321" spans="1:16" ht="12.75">
      <c r="A321" s="4"/>
      <c r="B321" s="5"/>
      <c r="C321" s="5"/>
      <c r="D321" s="4"/>
      <c r="E321" s="4"/>
      <c r="F321" s="4"/>
      <c r="G321" s="5"/>
      <c r="H321" s="4"/>
      <c r="I321" s="4"/>
      <c r="J321" s="4"/>
      <c r="K321" s="4"/>
      <c r="L321" s="4"/>
      <c r="M321" s="4"/>
      <c r="N321" s="4"/>
      <c r="O321" s="4"/>
      <c r="P321" s="4"/>
    </row>
    <row r="322" spans="1:16" ht="12.75">
      <c r="A322" s="4"/>
      <c r="B322" s="5"/>
      <c r="C322" s="5"/>
      <c r="D322" s="4"/>
      <c r="E322" s="4"/>
      <c r="F322" s="4"/>
      <c r="G322" s="5"/>
      <c r="H322" s="4"/>
      <c r="I322" s="4"/>
      <c r="J322" s="4"/>
      <c r="K322" s="4"/>
      <c r="L322" s="4"/>
      <c r="M322" s="4"/>
      <c r="N322" s="4"/>
      <c r="O322" s="4"/>
      <c r="P322" s="4"/>
    </row>
    <row r="323" spans="1:16" ht="12.75">
      <c r="A323" s="4"/>
      <c r="B323" s="5"/>
      <c r="C323" s="5"/>
      <c r="D323" s="4"/>
      <c r="E323" s="4"/>
      <c r="F323" s="4"/>
      <c r="G323" s="5"/>
      <c r="H323" s="4"/>
      <c r="I323" s="4"/>
      <c r="J323" s="4"/>
      <c r="K323" s="4"/>
      <c r="L323" s="4"/>
      <c r="M323" s="4"/>
      <c r="N323" s="4"/>
      <c r="O323" s="4"/>
      <c r="P323" s="4"/>
    </row>
    <row r="324" spans="1:16" ht="12.75">
      <c r="A324" s="4"/>
      <c r="B324" s="5"/>
      <c r="C324" s="5"/>
      <c r="D324" s="4"/>
      <c r="E324" s="4"/>
      <c r="F324" s="4"/>
      <c r="G324" s="5"/>
      <c r="H324" s="4"/>
      <c r="I324" s="4"/>
      <c r="J324" s="4"/>
      <c r="K324" s="4"/>
      <c r="L324" s="4"/>
      <c r="M324" s="4"/>
      <c r="N324" s="4"/>
      <c r="O324" s="4"/>
      <c r="P324" s="4"/>
    </row>
    <row r="325" spans="1:16" ht="12.75">
      <c r="A325" s="4"/>
      <c r="B325" s="5"/>
      <c r="C325" s="5"/>
      <c r="D325" s="4"/>
      <c r="E325" s="4"/>
      <c r="F325" s="4"/>
      <c r="G325" s="5"/>
      <c r="H325" s="4"/>
      <c r="I325" s="4"/>
      <c r="J325" s="4"/>
      <c r="K325" s="4"/>
      <c r="L325" s="4"/>
      <c r="M325" s="4"/>
      <c r="N325" s="4"/>
      <c r="O325" s="4"/>
      <c r="P325" s="4"/>
    </row>
    <row r="326" spans="1:16" ht="12.75">
      <c r="A326" s="4"/>
      <c r="B326" s="5"/>
      <c r="C326" s="5"/>
      <c r="D326" s="4"/>
      <c r="E326" s="4"/>
      <c r="F326" s="4"/>
      <c r="G326" s="5"/>
      <c r="H326" s="4"/>
      <c r="I326" s="4"/>
      <c r="J326" s="4"/>
      <c r="K326" s="4"/>
      <c r="L326" s="4"/>
      <c r="M326" s="4"/>
      <c r="N326" s="4"/>
      <c r="O326" s="4"/>
      <c r="P326" s="4"/>
    </row>
    <row r="327" spans="1:16" ht="12.75">
      <c r="A327" s="4"/>
      <c r="B327" s="5"/>
      <c r="C327" s="5"/>
      <c r="D327" s="4"/>
      <c r="E327" s="4"/>
      <c r="F327" s="4"/>
      <c r="G327" s="5"/>
      <c r="H327" s="4"/>
      <c r="I327" s="4"/>
      <c r="J327" s="4"/>
      <c r="K327" s="4"/>
      <c r="L327" s="4"/>
      <c r="M327" s="4"/>
      <c r="N327" s="4"/>
      <c r="O327" s="4"/>
      <c r="P327" s="4"/>
    </row>
    <row r="328" spans="1:16" ht="12.75">
      <c r="A328" s="4"/>
      <c r="B328" s="5"/>
      <c r="C328" s="5"/>
      <c r="D328" s="4"/>
      <c r="E328" s="4"/>
      <c r="F328" s="4"/>
      <c r="G328" s="5"/>
      <c r="H328" s="4"/>
      <c r="I328" s="4"/>
      <c r="J328" s="4"/>
      <c r="K328" s="4"/>
      <c r="L328" s="4"/>
      <c r="M328" s="4"/>
      <c r="N328" s="4"/>
      <c r="O328" s="4"/>
      <c r="P328" s="4"/>
    </row>
    <row r="329" spans="1:16" ht="12.75">
      <c r="A329" s="4"/>
      <c r="B329" s="5"/>
      <c r="C329" s="5"/>
      <c r="D329" s="4"/>
      <c r="E329" s="4"/>
      <c r="F329" s="4"/>
      <c r="G329" s="5"/>
      <c r="H329" s="4"/>
      <c r="I329" s="4"/>
      <c r="J329" s="4"/>
      <c r="K329" s="4"/>
      <c r="L329" s="4"/>
      <c r="M329" s="4"/>
      <c r="N329" s="4"/>
      <c r="O329" s="4"/>
      <c r="P329" s="4"/>
    </row>
    <row r="330" spans="1:16" ht="12.75">
      <c r="A330" s="4"/>
      <c r="B330" s="5"/>
      <c r="C330" s="5"/>
      <c r="D330" s="4"/>
      <c r="E330" s="4"/>
      <c r="F330" s="4"/>
      <c r="G330" s="5"/>
      <c r="H330" s="4"/>
      <c r="I330" s="4"/>
      <c r="J330" s="4"/>
      <c r="K330" s="4"/>
      <c r="L330" s="4"/>
      <c r="M330" s="4"/>
      <c r="N330" s="4"/>
      <c r="O330" s="4"/>
      <c r="P330" s="4"/>
    </row>
    <row r="331" spans="1:16" ht="12.75">
      <c r="A331" s="4"/>
      <c r="B331" s="5"/>
      <c r="C331" s="5"/>
      <c r="D331" s="4"/>
      <c r="E331" s="4"/>
      <c r="F331" s="4"/>
      <c r="G331" s="5"/>
      <c r="H331" s="4"/>
      <c r="I331" s="4"/>
      <c r="J331" s="4"/>
      <c r="K331" s="4"/>
      <c r="L331" s="4"/>
      <c r="M331" s="4"/>
      <c r="N331" s="4"/>
      <c r="O331" s="4"/>
      <c r="P331" s="4"/>
    </row>
    <row r="332" spans="1:16" ht="12.75">
      <c r="A332" s="4"/>
      <c r="B332" s="5"/>
      <c r="C332" s="5"/>
      <c r="D332" s="4"/>
      <c r="E332" s="4"/>
      <c r="F332" s="4"/>
      <c r="G332" s="5"/>
      <c r="H332" s="4"/>
      <c r="I332" s="4"/>
      <c r="J332" s="4"/>
      <c r="K332" s="4"/>
      <c r="L332" s="4"/>
      <c r="M332" s="4"/>
      <c r="N332" s="4"/>
      <c r="O332" s="4"/>
      <c r="P332" s="4"/>
    </row>
    <row r="333" spans="1:16" ht="12.75">
      <c r="A333" s="4"/>
      <c r="B333" s="5"/>
      <c r="C333" s="5"/>
      <c r="D333" s="4"/>
      <c r="E333" s="4"/>
      <c r="F333" s="4"/>
      <c r="G333" s="5"/>
      <c r="H333" s="4"/>
      <c r="I333" s="4"/>
      <c r="J333" s="4"/>
      <c r="K333" s="4"/>
      <c r="L333" s="4"/>
      <c r="M333" s="4"/>
      <c r="N333" s="4"/>
      <c r="O333" s="4"/>
      <c r="P333" s="4"/>
    </row>
    <row r="334" spans="1:16" ht="12.75">
      <c r="A334" s="4"/>
      <c r="B334" s="5"/>
      <c r="C334" s="5"/>
      <c r="D334" s="4"/>
      <c r="E334" s="4"/>
      <c r="F334" s="4"/>
      <c r="G334" s="5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2.75">
      <c r="A335" s="4"/>
      <c r="B335" s="5"/>
      <c r="C335" s="5"/>
      <c r="D335" s="4"/>
      <c r="E335" s="4"/>
      <c r="F335" s="4"/>
      <c r="G335" s="5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12.75">
      <c r="A336" s="4"/>
      <c r="B336" s="5"/>
      <c r="C336" s="5"/>
      <c r="D336" s="4"/>
      <c r="E336" s="4"/>
      <c r="F336" s="4"/>
      <c r="G336" s="5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12.75">
      <c r="A337" s="4"/>
      <c r="B337" s="5"/>
      <c r="C337" s="5"/>
      <c r="D337" s="4"/>
      <c r="E337" s="4"/>
      <c r="F337" s="4"/>
      <c r="G337" s="5"/>
      <c r="H337" s="4"/>
      <c r="I337" s="4"/>
      <c r="J337" s="4"/>
      <c r="K337" s="4"/>
      <c r="L337" s="4"/>
      <c r="M337" s="4"/>
      <c r="N337" s="4"/>
      <c r="O337" s="4"/>
      <c r="P337" s="4"/>
    </row>
    <row r="338" spans="1:16" ht="12.75">
      <c r="A338" s="4"/>
      <c r="B338" s="5"/>
      <c r="C338" s="5"/>
      <c r="D338" s="4"/>
      <c r="E338" s="4"/>
      <c r="F338" s="4"/>
      <c r="G338" s="5"/>
      <c r="H338" s="4"/>
      <c r="I338" s="4"/>
      <c r="J338" s="4"/>
      <c r="K338" s="4"/>
      <c r="L338" s="4"/>
      <c r="M338" s="4"/>
      <c r="N338" s="4"/>
      <c r="O338" s="4"/>
      <c r="P338" s="4"/>
    </row>
    <row r="339" spans="1:16" ht="12.75">
      <c r="A339" s="4"/>
      <c r="B339" s="5"/>
      <c r="C339" s="5"/>
      <c r="D339" s="4"/>
      <c r="E339" s="4"/>
      <c r="F339" s="4"/>
      <c r="G339" s="5"/>
      <c r="H339" s="4"/>
      <c r="I339" s="4"/>
      <c r="J339" s="4"/>
      <c r="K339" s="4"/>
      <c r="L339" s="4"/>
      <c r="M339" s="4"/>
      <c r="N339" s="4"/>
      <c r="O339" s="4"/>
      <c r="P339" s="4"/>
    </row>
    <row r="340" spans="1:16" ht="12.75">
      <c r="A340" s="4"/>
      <c r="B340" s="5"/>
      <c r="C340" s="5"/>
      <c r="D340" s="4"/>
      <c r="E340" s="4"/>
      <c r="F340" s="4"/>
      <c r="G340" s="5"/>
      <c r="H340" s="4"/>
      <c r="I340" s="4"/>
      <c r="J340" s="4"/>
      <c r="K340" s="4"/>
      <c r="L340" s="4"/>
      <c r="M340" s="4"/>
      <c r="N340" s="4"/>
      <c r="O340" s="4"/>
      <c r="P340" s="4"/>
    </row>
    <row r="341" spans="1:16" ht="12.75">
      <c r="A341" s="4"/>
      <c r="B341" s="5"/>
      <c r="C341" s="5"/>
      <c r="D341" s="4"/>
      <c r="E341" s="4"/>
      <c r="F341" s="4"/>
      <c r="G341" s="5"/>
      <c r="H341" s="4"/>
      <c r="I341" s="4"/>
      <c r="J341" s="4"/>
      <c r="K341" s="4"/>
      <c r="L341" s="4"/>
      <c r="M341" s="4"/>
      <c r="N341" s="4"/>
      <c r="O341" s="4"/>
      <c r="P341" s="4"/>
    </row>
    <row r="342" spans="1:16" ht="12.75">
      <c r="A342" s="4"/>
      <c r="B342" s="5"/>
      <c r="C342" s="5"/>
      <c r="D342" s="4"/>
      <c r="E342" s="4"/>
      <c r="F342" s="4"/>
      <c r="G342" s="5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12.75">
      <c r="A343" s="4"/>
      <c r="B343" s="5"/>
      <c r="C343" s="5"/>
      <c r="D343" s="4"/>
      <c r="E343" s="4"/>
      <c r="F343" s="4"/>
      <c r="G343" s="5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12.75">
      <c r="A344" s="4"/>
      <c r="B344" s="5"/>
      <c r="C344" s="5"/>
      <c r="D344" s="4"/>
      <c r="E344" s="4"/>
      <c r="F344" s="4"/>
      <c r="G344" s="5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12.75">
      <c r="A345" s="4"/>
      <c r="B345" s="5"/>
      <c r="C345" s="5"/>
      <c r="D345" s="4"/>
      <c r="E345" s="4"/>
      <c r="F345" s="4"/>
      <c r="G345" s="5"/>
      <c r="H345" s="4"/>
      <c r="I345" s="4"/>
      <c r="J345" s="4"/>
      <c r="K345" s="4"/>
      <c r="L345" s="4"/>
      <c r="M345" s="4"/>
      <c r="N345" s="4"/>
      <c r="O345" s="4"/>
      <c r="P345" s="4"/>
    </row>
    <row r="346" spans="1:16" ht="12.75">
      <c r="A346" s="4"/>
      <c r="B346" s="5"/>
      <c r="C346" s="5"/>
      <c r="D346" s="4"/>
      <c r="E346" s="4"/>
      <c r="F346" s="4"/>
      <c r="G346" s="5"/>
      <c r="H346" s="4"/>
      <c r="I346" s="4"/>
      <c r="J346" s="4"/>
      <c r="K346" s="4"/>
      <c r="L346" s="4"/>
      <c r="M346" s="4"/>
      <c r="N346" s="4"/>
      <c r="O346" s="4"/>
      <c r="P346" s="4"/>
    </row>
    <row r="347" spans="1:16" ht="12.75">
      <c r="A347" s="4"/>
      <c r="B347" s="5"/>
      <c r="C347" s="5"/>
      <c r="D347" s="4"/>
      <c r="E347" s="4"/>
      <c r="F347" s="4"/>
      <c r="G347" s="5"/>
      <c r="H347" s="4"/>
      <c r="I347" s="4"/>
      <c r="J347" s="4"/>
      <c r="K347" s="4"/>
      <c r="L347" s="4"/>
      <c r="M347" s="4"/>
      <c r="N347" s="4"/>
      <c r="O347" s="4"/>
      <c r="P347" s="4"/>
    </row>
    <row r="348" spans="1:16" ht="12.75">
      <c r="A348" s="4"/>
      <c r="B348" s="5"/>
      <c r="C348" s="5"/>
      <c r="D348" s="4"/>
      <c r="E348" s="4"/>
      <c r="F348" s="4"/>
      <c r="G348" s="5"/>
      <c r="H348" s="4"/>
      <c r="I348" s="4"/>
      <c r="J348" s="4"/>
      <c r="K348" s="4"/>
      <c r="L348" s="4"/>
      <c r="M348" s="4"/>
      <c r="N348" s="4"/>
      <c r="O348" s="4"/>
      <c r="P348" s="4"/>
    </row>
    <row r="349" spans="1:16" ht="12.75">
      <c r="A349" s="4"/>
      <c r="B349" s="5"/>
      <c r="C349" s="5"/>
      <c r="D349" s="4"/>
      <c r="E349" s="4"/>
      <c r="F349" s="4"/>
      <c r="G349" s="5"/>
      <c r="H349" s="4"/>
      <c r="I349" s="4"/>
      <c r="J349" s="4"/>
      <c r="K349" s="4"/>
      <c r="L349" s="4"/>
      <c r="M349" s="4"/>
      <c r="N349" s="4"/>
      <c r="O349" s="4"/>
      <c r="P349" s="4"/>
    </row>
    <row r="350" spans="1:16" ht="12.75">
      <c r="A350" s="4"/>
      <c r="B350" s="5"/>
      <c r="C350" s="5"/>
      <c r="D350" s="4"/>
      <c r="E350" s="4"/>
      <c r="F350" s="4"/>
      <c r="G350" s="5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2.75">
      <c r="A351" s="4"/>
      <c r="B351" s="5"/>
      <c r="C351" s="5"/>
      <c r="D351" s="4"/>
      <c r="E351" s="4"/>
      <c r="F351" s="4"/>
      <c r="G351" s="5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2.75">
      <c r="A352" s="4"/>
      <c r="B352" s="5"/>
      <c r="C352" s="5"/>
      <c r="D352" s="4"/>
      <c r="E352" s="4"/>
      <c r="F352" s="4"/>
      <c r="G352" s="5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2.75">
      <c r="A353" s="4"/>
      <c r="B353" s="5"/>
      <c r="C353" s="5"/>
      <c r="D353" s="4"/>
      <c r="E353" s="4"/>
      <c r="F353" s="4"/>
      <c r="G353" s="5"/>
      <c r="H353" s="4"/>
      <c r="I353" s="4"/>
      <c r="J353" s="4"/>
      <c r="K353" s="4"/>
      <c r="L353" s="4"/>
      <c r="M353" s="4"/>
      <c r="N353" s="4"/>
      <c r="O353" s="4"/>
      <c r="P353" s="4"/>
    </row>
    <row r="354" spans="1:16" ht="12.75">
      <c r="A354" s="4"/>
      <c r="B354" s="5"/>
      <c r="C354" s="5"/>
      <c r="D354" s="4"/>
      <c r="E354" s="4"/>
      <c r="F354" s="4"/>
      <c r="G354" s="5"/>
      <c r="H354" s="4"/>
      <c r="I354" s="4"/>
      <c r="J354" s="4"/>
      <c r="K354" s="4"/>
      <c r="L354" s="4"/>
      <c r="M354" s="4"/>
      <c r="N354" s="4"/>
      <c r="O354" s="4"/>
      <c r="P354" s="4"/>
    </row>
    <row r="355" spans="1:16" ht="12.75">
      <c r="A355" s="4"/>
      <c r="B355" s="5"/>
      <c r="C355" s="5"/>
      <c r="D355" s="4"/>
      <c r="E355" s="4"/>
      <c r="F355" s="4"/>
      <c r="G355" s="5"/>
      <c r="H355" s="4"/>
      <c r="I355" s="4"/>
      <c r="J355" s="4"/>
      <c r="K355" s="4"/>
      <c r="L355" s="4"/>
      <c r="M355" s="4"/>
      <c r="N355" s="4"/>
      <c r="O355" s="4"/>
      <c r="P355" s="4"/>
    </row>
    <row r="356" spans="1:16" ht="12.75">
      <c r="A356" s="4"/>
      <c r="B356" s="5"/>
      <c r="C356" s="5"/>
      <c r="D356" s="4"/>
      <c r="E356" s="4"/>
      <c r="F356" s="4"/>
      <c r="G356" s="5"/>
      <c r="H356" s="4"/>
      <c r="I356" s="4"/>
      <c r="J356" s="4"/>
      <c r="K356" s="4"/>
      <c r="L356" s="4"/>
      <c r="M356" s="4"/>
      <c r="N356" s="4"/>
      <c r="O356" s="4"/>
      <c r="P356" s="4"/>
    </row>
    <row r="357" spans="1:16" ht="12.75">
      <c r="A357" s="4"/>
      <c r="B357" s="5"/>
      <c r="C357" s="5"/>
      <c r="D357" s="4"/>
      <c r="E357" s="4"/>
      <c r="F357" s="4"/>
      <c r="G357" s="5"/>
      <c r="H357" s="4"/>
      <c r="I357" s="4"/>
      <c r="J357" s="4"/>
      <c r="K357" s="4"/>
      <c r="L357" s="4"/>
      <c r="M357" s="4"/>
      <c r="N357" s="4"/>
      <c r="O357" s="4"/>
      <c r="P357" s="4"/>
    </row>
    <row r="358" spans="1:16" ht="12.75">
      <c r="A358" s="4"/>
      <c r="B358" s="5"/>
      <c r="C358" s="5"/>
      <c r="D358" s="4"/>
      <c r="E358" s="4"/>
      <c r="F358" s="4"/>
      <c r="G358" s="5"/>
      <c r="H358" s="4"/>
      <c r="I358" s="4"/>
      <c r="J358" s="4"/>
      <c r="K358" s="4"/>
      <c r="L358" s="4"/>
      <c r="M358" s="4"/>
      <c r="N358" s="4"/>
      <c r="O358" s="4"/>
      <c r="P358" s="4"/>
    </row>
    <row r="359" spans="1:16" ht="12.75">
      <c r="A359" s="4"/>
      <c r="B359" s="5"/>
      <c r="C359" s="5"/>
      <c r="D359" s="4"/>
      <c r="E359" s="4"/>
      <c r="F359" s="4"/>
      <c r="G359" s="5"/>
      <c r="H359" s="4"/>
      <c r="I359" s="4"/>
      <c r="J359" s="4"/>
      <c r="K359" s="4"/>
      <c r="L359" s="4"/>
      <c r="M359" s="4"/>
      <c r="N359" s="4"/>
      <c r="O359" s="4"/>
      <c r="P359" s="4"/>
    </row>
    <row r="360" spans="1:16" ht="12.75">
      <c r="A360" s="4"/>
      <c r="B360" s="5"/>
      <c r="C360" s="5"/>
      <c r="D360" s="4"/>
      <c r="E360" s="4"/>
      <c r="F360" s="4"/>
      <c r="G360" s="5"/>
      <c r="H360" s="4"/>
      <c r="I360" s="4"/>
      <c r="J360" s="4"/>
      <c r="K360" s="4"/>
      <c r="L360" s="4"/>
      <c r="M360" s="4"/>
      <c r="N360" s="4"/>
      <c r="O360" s="4"/>
      <c r="P360" s="4"/>
    </row>
    <row r="361" spans="1:16" ht="12.75">
      <c r="A361" s="4"/>
      <c r="B361" s="5"/>
      <c r="C361" s="5"/>
      <c r="D361" s="4"/>
      <c r="E361" s="4"/>
      <c r="F361" s="4"/>
      <c r="G361" s="5"/>
      <c r="H361" s="4"/>
      <c r="I361" s="4"/>
      <c r="J361" s="4"/>
      <c r="K361" s="4"/>
      <c r="L361" s="4"/>
      <c r="M361" s="4"/>
      <c r="N361" s="4"/>
      <c r="O361" s="4"/>
      <c r="P361" s="4"/>
    </row>
    <row r="362" spans="1:16" ht="12.75">
      <c r="A362" s="4"/>
      <c r="B362" s="5"/>
      <c r="C362" s="5"/>
      <c r="D362" s="4"/>
      <c r="E362" s="4"/>
      <c r="F362" s="4"/>
      <c r="G362" s="5"/>
      <c r="H362" s="4"/>
      <c r="I362" s="4"/>
      <c r="J362" s="4"/>
      <c r="K362" s="4"/>
      <c r="L362" s="4"/>
      <c r="M362" s="4"/>
      <c r="N362" s="4"/>
      <c r="O362" s="4"/>
      <c r="P362" s="4"/>
    </row>
    <row r="363" spans="1:16" ht="12.75">
      <c r="A363" s="4"/>
      <c r="B363" s="5"/>
      <c r="C363" s="5"/>
      <c r="D363" s="4"/>
      <c r="E363" s="4"/>
      <c r="F363" s="4"/>
      <c r="G363" s="5"/>
      <c r="H363" s="4"/>
      <c r="I363" s="4"/>
      <c r="J363" s="4"/>
      <c r="K363" s="4"/>
      <c r="L363" s="4"/>
      <c r="M363" s="4"/>
      <c r="N363" s="4"/>
      <c r="O363" s="4"/>
      <c r="P363" s="4"/>
    </row>
    <row r="364" spans="1:16" ht="12.75">
      <c r="A364" s="4"/>
      <c r="B364" s="5"/>
      <c r="C364" s="5"/>
      <c r="D364" s="4"/>
      <c r="E364" s="4"/>
      <c r="F364" s="4"/>
      <c r="G364" s="5"/>
      <c r="H364" s="4"/>
      <c r="I364" s="4"/>
      <c r="J364" s="4"/>
      <c r="K364" s="4"/>
      <c r="L364" s="4"/>
      <c r="M364" s="4"/>
      <c r="N364" s="4"/>
      <c r="O364" s="4"/>
      <c r="P364" s="4"/>
    </row>
    <row r="365" spans="1:16" ht="12.75">
      <c r="A365" s="4"/>
      <c r="B365" s="5"/>
      <c r="C365" s="5"/>
      <c r="D365" s="4"/>
      <c r="E365" s="4"/>
      <c r="F365" s="4"/>
      <c r="G365" s="5"/>
      <c r="H365" s="4"/>
      <c r="I365" s="4"/>
      <c r="J365" s="4"/>
      <c r="K365" s="4"/>
      <c r="L365" s="4"/>
      <c r="M365" s="4"/>
      <c r="N365" s="4"/>
      <c r="O365" s="4"/>
      <c r="P365" s="4"/>
    </row>
    <row r="366" spans="1:16" ht="12.75">
      <c r="A366" s="4"/>
      <c r="B366" s="5"/>
      <c r="C366" s="5"/>
      <c r="D366" s="4"/>
      <c r="E366" s="4"/>
      <c r="F366" s="4"/>
      <c r="G366" s="5"/>
      <c r="H366" s="4"/>
      <c r="I366" s="4"/>
      <c r="J366" s="4"/>
      <c r="K366" s="4"/>
      <c r="L366" s="4"/>
      <c r="M366" s="4"/>
      <c r="N366" s="4"/>
      <c r="O366" s="4"/>
      <c r="P366" s="4"/>
    </row>
    <row r="367" spans="1:16" ht="12.75">
      <c r="A367" s="4"/>
      <c r="B367" s="5"/>
      <c r="C367" s="5"/>
      <c r="D367" s="4"/>
      <c r="E367" s="4"/>
      <c r="F367" s="4"/>
      <c r="G367" s="5"/>
      <c r="H367" s="4"/>
      <c r="I367" s="4"/>
      <c r="J367" s="4"/>
      <c r="K367" s="4"/>
      <c r="L367" s="4"/>
      <c r="M367" s="4"/>
      <c r="N367" s="4"/>
      <c r="O367" s="4"/>
      <c r="P367" s="4"/>
    </row>
    <row r="368" spans="1:16" ht="12.75">
      <c r="A368" s="4"/>
      <c r="B368" s="5"/>
      <c r="C368" s="5"/>
      <c r="D368" s="4"/>
      <c r="E368" s="4"/>
      <c r="F368" s="4"/>
      <c r="G368" s="5"/>
      <c r="H368" s="4"/>
      <c r="I368" s="4"/>
      <c r="J368" s="4"/>
      <c r="K368" s="4"/>
      <c r="L368" s="4"/>
      <c r="M368" s="4"/>
      <c r="N368" s="4"/>
      <c r="O368" s="4"/>
      <c r="P368" s="4"/>
    </row>
    <row r="369" spans="1:16" ht="12.75">
      <c r="A369" s="4"/>
      <c r="B369" s="5"/>
      <c r="C369" s="5"/>
      <c r="D369" s="4"/>
      <c r="E369" s="4"/>
      <c r="F369" s="4"/>
      <c r="G369" s="5"/>
      <c r="H369" s="4"/>
      <c r="I369" s="4"/>
      <c r="J369" s="4"/>
      <c r="K369" s="4"/>
      <c r="L369" s="4"/>
      <c r="M369" s="4"/>
      <c r="N369" s="4"/>
      <c r="O369" s="4"/>
      <c r="P369" s="4"/>
    </row>
    <row r="370" spans="1:16" ht="12.75">
      <c r="A370" s="4"/>
      <c r="B370" s="5"/>
      <c r="C370" s="5"/>
      <c r="D370" s="4"/>
      <c r="E370" s="4"/>
      <c r="F370" s="4"/>
      <c r="G370" s="5"/>
      <c r="H370" s="4"/>
      <c r="I370" s="4"/>
      <c r="J370" s="4"/>
      <c r="K370" s="4"/>
      <c r="L370" s="4"/>
      <c r="M370" s="4"/>
      <c r="N370" s="4"/>
      <c r="O370" s="4"/>
      <c r="P370" s="4"/>
    </row>
    <row r="371" spans="1:16" ht="12.75">
      <c r="A371" s="4"/>
      <c r="B371" s="5"/>
      <c r="C371" s="5"/>
      <c r="D371" s="4"/>
      <c r="E371" s="4"/>
      <c r="F371" s="4"/>
      <c r="G371" s="5"/>
      <c r="H371" s="4"/>
      <c r="I371" s="4"/>
      <c r="J371" s="4"/>
      <c r="K371" s="4"/>
      <c r="L371" s="4"/>
      <c r="M371" s="4"/>
      <c r="N371" s="4"/>
      <c r="O371" s="4"/>
      <c r="P371" s="4"/>
    </row>
    <row r="372" spans="1:16" ht="12.75">
      <c r="A372" s="4"/>
      <c r="B372" s="5"/>
      <c r="C372" s="5"/>
      <c r="D372" s="4"/>
      <c r="E372" s="4"/>
      <c r="F372" s="4"/>
      <c r="G372" s="5"/>
      <c r="H372" s="4"/>
      <c r="I372" s="4"/>
      <c r="J372" s="4"/>
      <c r="K372" s="4"/>
      <c r="L372" s="4"/>
      <c r="M372" s="4"/>
      <c r="N372" s="4"/>
      <c r="O372" s="4"/>
      <c r="P372" s="4"/>
    </row>
    <row r="373" spans="1:16" ht="12.75">
      <c r="A373" s="4"/>
      <c r="B373" s="5"/>
      <c r="C373" s="5"/>
      <c r="D373" s="4"/>
      <c r="E373" s="4"/>
      <c r="F373" s="4"/>
      <c r="G373" s="5"/>
      <c r="H373" s="4"/>
      <c r="I373" s="4"/>
      <c r="J373" s="4"/>
      <c r="K373" s="4"/>
      <c r="L373" s="4"/>
      <c r="M373" s="4"/>
      <c r="N373" s="4"/>
      <c r="O373" s="4"/>
      <c r="P373" s="4"/>
    </row>
    <row r="374" spans="1:16" ht="12.75">
      <c r="A374" s="4"/>
      <c r="B374" s="5"/>
      <c r="C374" s="5"/>
      <c r="D374" s="4"/>
      <c r="E374" s="4"/>
      <c r="F374" s="4"/>
      <c r="G374" s="5"/>
      <c r="H374" s="4"/>
      <c r="I374" s="4"/>
      <c r="J374" s="4"/>
      <c r="K374" s="4"/>
      <c r="L374" s="4"/>
      <c r="M374" s="4"/>
      <c r="N374" s="4"/>
      <c r="O374" s="4"/>
      <c r="P374" s="4"/>
    </row>
    <row r="375" spans="1:16" ht="12.75">
      <c r="A375" s="4"/>
      <c r="B375" s="5"/>
      <c r="C375" s="5"/>
      <c r="D375" s="4"/>
      <c r="E375" s="4"/>
      <c r="F375" s="4"/>
      <c r="G375" s="5"/>
      <c r="H375" s="4"/>
      <c r="I375" s="4"/>
      <c r="J375" s="4"/>
      <c r="K375" s="4"/>
      <c r="L375" s="4"/>
      <c r="M375" s="4"/>
      <c r="N375" s="4"/>
      <c r="O375" s="4"/>
      <c r="P375" s="4"/>
    </row>
    <row r="376" spans="1:16" ht="12.75">
      <c r="A376" s="4"/>
      <c r="B376" s="5"/>
      <c r="C376" s="5"/>
      <c r="D376" s="4"/>
      <c r="E376" s="4"/>
      <c r="F376" s="4"/>
      <c r="G376" s="5"/>
      <c r="H376" s="4"/>
      <c r="I376" s="4"/>
      <c r="J376" s="4"/>
      <c r="K376" s="4"/>
      <c r="L376" s="4"/>
      <c r="M376" s="4"/>
      <c r="N376" s="4"/>
      <c r="O376" s="4"/>
      <c r="P376" s="4"/>
    </row>
    <row r="377" spans="1:16" ht="12.75">
      <c r="A377" s="4"/>
      <c r="B377" s="5"/>
      <c r="C377" s="5"/>
      <c r="D377" s="4"/>
      <c r="E377" s="4"/>
      <c r="F377" s="4"/>
      <c r="G377" s="5"/>
      <c r="H377" s="4"/>
      <c r="I377" s="4"/>
      <c r="J377" s="4"/>
      <c r="K377" s="4"/>
      <c r="L377" s="4"/>
      <c r="M377" s="4"/>
      <c r="N377" s="4"/>
      <c r="O377" s="4"/>
      <c r="P377" s="4"/>
    </row>
    <row r="378" spans="1:16" ht="12.75">
      <c r="A378" s="4"/>
      <c r="B378" s="5"/>
      <c r="C378" s="5"/>
      <c r="D378" s="4"/>
      <c r="E378" s="4"/>
      <c r="F378" s="4"/>
      <c r="G378" s="5"/>
      <c r="H378" s="4"/>
      <c r="I378" s="4"/>
      <c r="J378" s="4"/>
      <c r="K378" s="4"/>
      <c r="L378" s="4"/>
      <c r="M378" s="4"/>
      <c r="N378" s="4"/>
      <c r="O378" s="4"/>
      <c r="P378" s="4"/>
    </row>
    <row r="379" spans="1:16" ht="12.75">
      <c r="A379" s="4"/>
      <c r="B379" s="5"/>
      <c r="C379" s="5"/>
      <c r="D379" s="4"/>
      <c r="E379" s="4"/>
      <c r="F379" s="4"/>
      <c r="G379" s="5"/>
      <c r="H379" s="4"/>
      <c r="I379" s="4"/>
      <c r="J379" s="4"/>
      <c r="K379" s="4"/>
      <c r="L379" s="4"/>
      <c r="M379" s="4"/>
      <c r="N379" s="4"/>
      <c r="O379" s="4"/>
      <c r="P379" s="4"/>
    </row>
    <row r="380" spans="1:16" ht="12.75">
      <c r="A380" s="4"/>
      <c r="B380" s="5"/>
      <c r="C380" s="5"/>
      <c r="D380" s="4"/>
      <c r="E380" s="4"/>
      <c r="F380" s="4"/>
      <c r="G380" s="5"/>
      <c r="H380" s="4"/>
      <c r="I380" s="4"/>
      <c r="J380" s="4"/>
      <c r="K380" s="4"/>
      <c r="L380" s="4"/>
      <c r="M380" s="4"/>
      <c r="N380" s="4"/>
      <c r="O380" s="4"/>
      <c r="P380" s="4"/>
    </row>
    <row r="381" spans="1:16" ht="12.75">
      <c r="A381" s="4"/>
      <c r="B381" s="5"/>
      <c r="C381" s="5"/>
      <c r="D381" s="4"/>
      <c r="E381" s="4"/>
      <c r="F381" s="4"/>
      <c r="G381" s="5"/>
      <c r="H381" s="4"/>
      <c r="I381" s="4"/>
      <c r="J381" s="4"/>
      <c r="K381" s="4"/>
      <c r="L381" s="4"/>
      <c r="M381" s="4"/>
      <c r="N381" s="4"/>
      <c r="O381" s="4"/>
      <c r="P381" s="4"/>
    </row>
    <row r="382" spans="1:16" ht="12.75">
      <c r="A382" s="4"/>
      <c r="B382" s="5"/>
      <c r="C382" s="5"/>
      <c r="D382" s="4"/>
      <c r="E382" s="4"/>
      <c r="F382" s="4"/>
      <c r="G382" s="5"/>
      <c r="H382" s="4"/>
      <c r="I382" s="4"/>
      <c r="J382" s="4"/>
      <c r="K382" s="4"/>
      <c r="L382" s="4"/>
      <c r="M382" s="4"/>
      <c r="N382" s="4"/>
      <c r="O382" s="4"/>
      <c r="P382" s="4"/>
    </row>
    <row r="383" spans="1:16" ht="12.75">
      <c r="A383" s="4"/>
      <c r="B383" s="5"/>
      <c r="C383" s="5"/>
      <c r="D383" s="4"/>
      <c r="E383" s="4"/>
      <c r="F383" s="4"/>
      <c r="G383" s="5"/>
      <c r="H383" s="4"/>
      <c r="I383" s="4"/>
      <c r="J383" s="4"/>
      <c r="K383" s="4"/>
      <c r="L383" s="4"/>
      <c r="M383" s="4"/>
      <c r="N383" s="4"/>
      <c r="O383" s="4"/>
      <c r="P383" s="4"/>
    </row>
    <row r="384" spans="1:16" ht="12.75">
      <c r="A384" s="4"/>
      <c r="B384" s="5"/>
      <c r="C384" s="5"/>
      <c r="D384" s="4"/>
      <c r="E384" s="4"/>
      <c r="F384" s="4"/>
      <c r="G384" s="5"/>
      <c r="H384" s="4"/>
      <c r="I384" s="4"/>
      <c r="J384" s="4"/>
      <c r="K384" s="4"/>
      <c r="L384" s="4"/>
      <c r="M384" s="4"/>
      <c r="N384" s="4"/>
      <c r="O384" s="4"/>
      <c r="P384" s="4"/>
    </row>
    <row r="385" spans="1:16" ht="12.75">
      <c r="A385" s="4"/>
      <c r="B385" s="5"/>
      <c r="C385" s="5"/>
      <c r="D385" s="4"/>
      <c r="E385" s="4"/>
      <c r="F385" s="4"/>
      <c r="G385" s="5"/>
      <c r="H385" s="4"/>
      <c r="I385" s="4"/>
      <c r="J385" s="4"/>
      <c r="K385" s="4"/>
      <c r="L385" s="4"/>
      <c r="M385" s="4"/>
      <c r="N385" s="4"/>
      <c r="O385" s="4"/>
      <c r="P385" s="4"/>
    </row>
    <row r="386" spans="1:16" ht="12.75">
      <c r="A386" s="4"/>
      <c r="B386" s="5"/>
      <c r="C386" s="5"/>
      <c r="D386" s="4"/>
      <c r="E386" s="4"/>
      <c r="F386" s="4"/>
      <c r="G386" s="5"/>
      <c r="H386" s="4"/>
      <c r="I386" s="4"/>
      <c r="J386" s="4"/>
      <c r="K386" s="4"/>
      <c r="L386" s="4"/>
      <c r="M386" s="4"/>
      <c r="N386" s="4"/>
      <c r="O386" s="4"/>
      <c r="P386" s="4"/>
    </row>
    <row r="387" spans="1:16" ht="12.75">
      <c r="A387" s="4"/>
      <c r="B387" s="5"/>
      <c r="C387" s="5"/>
      <c r="D387" s="4"/>
      <c r="E387" s="4"/>
      <c r="F387" s="4"/>
      <c r="G387" s="5"/>
      <c r="H387" s="4"/>
      <c r="I387" s="4"/>
      <c r="J387" s="4"/>
      <c r="K387" s="4"/>
      <c r="L387" s="4"/>
      <c r="M387" s="4"/>
      <c r="N387" s="4"/>
      <c r="O387" s="4"/>
      <c r="P387" s="4"/>
    </row>
    <row r="388" spans="1:16" ht="12.75">
      <c r="A388" s="4"/>
      <c r="B388" s="5"/>
      <c r="C388" s="5"/>
      <c r="D388" s="4"/>
      <c r="E388" s="4"/>
      <c r="F388" s="4"/>
      <c r="G388" s="5"/>
      <c r="H388" s="4"/>
      <c r="I388" s="4"/>
      <c r="J388" s="4"/>
      <c r="K388" s="4"/>
      <c r="L388" s="4"/>
      <c r="M388" s="4"/>
      <c r="N388" s="4"/>
      <c r="O388" s="4"/>
      <c r="P388" s="4"/>
    </row>
    <row r="389" spans="1:16" ht="12.75">
      <c r="A389" s="4"/>
      <c r="B389" s="5"/>
      <c r="C389" s="5"/>
      <c r="D389" s="4"/>
      <c r="E389" s="4"/>
      <c r="F389" s="4"/>
      <c r="G389" s="5"/>
      <c r="H389" s="4"/>
      <c r="I389" s="4"/>
      <c r="J389" s="4"/>
      <c r="K389" s="4"/>
      <c r="L389" s="4"/>
      <c r="M389" s="4"/>
      <c r="N389" s="4"/>
      <c r="O389" s="4"/>
      <c r="P389" s="4"/>
    </row>
    <row r="390" spans="1:16" ht="12.75">
      <c r="A390" s="4"/>
      <c r="B390" s="5"/>
      <c r="C390" s="5"/>
      <c r="D390" s="4"/>
      <c r="E390" s="4"/>
      <c r="F390" s="4"/>
      <c r="G390" s="5"/>
      <c r="H390" s="4"/>
      <c r="I390" s="4"/>
      <c r="J390" s="4"/>
      <c r="K390" s="4"/>
      <c r="L390" s="4"/>
      <c r="M390" s="4"/>
      <c r="N390" s="4"/>
      <c r="O390" s="4"/>
      <c r="P390" s="4"/>
    </row>
    <row r="391" spans="1:16" ht="12.75">
      <c r="A391" s="4"/>
      <c r="B391" s="5"/>
      <c r="C391" s="5"/>
      <c r="D391" s="4"/>
      <c r="E391" s="4"/>
      <c r="F391" s="4"/>
      <c r="G391" s="5"/>
      <c r="H391" s="4"/>
      <c r="I391" s="4"/>
      <c r="J391" s="4"/>
      <c r="K391" s="4"/>
      <c r="L391" s="4"/>
      <c r="M391" s="4"/>
      <c r="N391" s="4"/>
      <c r="O391" s="4"/>
      <c r="P391" s="4"/>
    </row>
    <row r="392" spans="1:16" ht="12.75">
      <c r="A392" s="4"/>
      <c r="B392" s="5"/>
      <c r="C392" s="5"/>
      <c r="D392" s="4"/>
      <c r="E392" s="4"/>
      <c r="F392" s="4"/>
      <c r="G392" s="5"/>
      <c r="H392" s="4"/>
      <c r="I392" s="4"/>
      <c r="J392" s="4"/>
      <c r="K392" s="4"/>
      <c r="L392" s="4"/>
      <c r="M392" s="4"/>
      <c r="N392" s="4"/>
      <c r="O392" s="4"/>
      <c r="P392" s="4"/>
    </row>
    <row r="393" spans="1:16" ht="12.75">
      <c r="A393" s="4"/>
      <c r="B393" s="5"/>
      <c r="C393" s="5"/>
      <c r="D393" s="4"/>
      <c r="E393" s="4"/>
      <c r="F393" s="4"/>
      <c r="G393" s="5"/>
      <c r="H393" s="4"/>
      <c r="I393" s="4"/>
      <c r="J393" s="4"/>
      <c r="K393" s="4"/>
      <c r="L393" s="4"/>
      <c r="M393" s="4"/>
      <c r="N393" s="4"/>
      <c r="O393" s="4"/>
      <c r="P393" s="4"/>
    </row>
    <row r="394" spans="1:16" ht="12.75">
      <c r="A394" s="4"/>
      <c r="B394" s="5"/>
      <c r="C394" s="5"/>
      <c r="D394" s="4"/>
      <c r="E394" s="4"/>
      <c r="F394" s="4"/>
      <c r="G394" s="5"/>
      <c r="H394" s="4"/>
      <c r="I394" s="4"/>
      <c r="J394" s="4"/>
      <c r="K394" s="4"/>
      <c r="L394" s="4"/>
      <c r="M394" s="4"/>
      <c r="N394" s="4"/>
      <c r="O394" s="4"/>
      <c r="P394" s="4"/>
    </row>
    <row r="395" spans="1:16" ht="12.75">
      <c r="A395" s="4"/>
      <c r="B395" s="5"/>
      <c r="C395" s="5"/>
      <c r="D395" s="4"/>
      <c r="E395" s="4"/>
      <c r="F395" s="4"/>
      <c r="G395" s="5"/>
      <c r="H395" s="4"/>
      <c r="I395" s="4"/>
      <c r="J395" s="4"/>
      <c r="K395" s="4"/>
      <c r="L395" s="4"/>
      <c r="M395" s="4"/>
      <c r="N395" s="4"/>
      <c r="O395" s="4"/>
      <c r="P395" s="4"/>
    </row>
    <row r="396" spans="1:16" ht="12.75">
      <c r="A396" s="4"/>
      <c r="B396" s="5"/>
      <c r="C396" s="5"/>
      <c r="D396" s="4"/>
      <c r="E396" s="4"/>
      <c r="F396" s="4"/>
      <c r="G396" s="5"/>
      <c r="H396" s="4"/>
      <c r="I396" s="4"/>
      <c r="J396" s="4"/>
      <c r="K396" s="4"/>
      <c r="L396" s="4"/>
      <c r="M396" s="4"/>
      <c r="N396" s="4"/>
      <c r="O396" s="4"/>
      <c r="P396" s="4"/>
    </row>
    <row r="397" spans="1:16" ht="12.75">
      <c r="A397" s="4"/>
      <c r="B397" s="5"/>
      <c r="C397" s="5"/>
      <c r="D397" s="4"/>
      <c r="E397" s="4"/>
      <c r="F397" s="4"/>
      <c r="G397" s="5"/>
      <c r="H397" s="4"/>
      <c r="I397" s="4"/>
      <c r="J397" s="4"/>
      <c r="K397" s="4"/>
      <c r="L397" s="4"/>
      <c r="M397" s="4"/>
      <c r="N397" s="4"/>
      <c r="O397" s="4"/>
      <c r="P397" s="4"/>
    </row>
    <row r="398" spans="1:16" ht="12.75">
      <c r="A398" s="4"/>
      <c r="B398" s="5"/>
      <c r="C398" s="5"/>
      <c r="D398" s="4"/>
      <c r="E398" s="4"/>
      <c r="F398" s="4"/>
      <c r="G398" s="5"/>
      <c r="H398" s="4"/>
      <c r="I398" s="4"/>
      <c r="J398" s="4"/>
      <c r="K398" s="4"/>
      <c r="L398" s="4"/>
      <c r="M398" s="4"/>
      <c r="N398" s="4"/>
      <c r="O398" s="4"/>
      <c r="P398" s="4"/>
    </row>
    <row r="399" spans="1:16" ht="12.75">
      <c r="A399" s="4"/>
      <c r="B399" s="5"/>
      <c r="C399" s="5"/>
      <c r="D399" s="4"/>
      <c r="E399" s="4"/>
      <c r="F399" s="4"/>
      <c r="G399" s="5"/>
      <c r="H399" s="4"/>
      <c r="I399" s="4"/>
      <c r="J399" s="4"/>
      <c r="K399" s="4"/>
      <c r="L399" s="4"/>
      <c r="M399" s="4"/>
      <c r="N399" s="4"/>
      <c r="O399" s="4"/>
      <c r="P399" s="4"/>
    </row>
    <row r="400" spans="1:16" ht="12.75">
      <c r="A400" s="4"/>
      <c r="B400" s="5"/>
      <c r="C400" s="5"/>
      <c r="D400" s="4"/>
      <c r="E400" s="4"/>
      <c r="F400" s="4"/>
      <c r="G400" s="5"/>
      <c r="H400" s="4"/>
      <c r="I400" s="4"/>
      <c r="J400" s="4"/>
      <c r="K400" s="4"/>
      <c r="L400" s="4"/>
      <c r="M400" s="4"/>
      <c r="N400" s="4"/>
      <c r="O400" s="4"/>
      <c r="P400" s="4"/>
    </row>
    <row r="401" spans="1:16" ht="12.75">
      <c r="A401" s="4"/>
      <c r="B401" s="5"/>
      <c r="C401" s="5"/>
      <c r="D401" s="4"/>
      <c r="E401" s="4"/>
      <c r="F401" s="4"/>
      <c r="G401" s="5"/>
      <c r="H401" s="4"/>
      <c r="I401" s="4"/>
      <c r="J401" s="4"/>
      <c r="K401" s="4"/>
      <c r="L401" s="4"/>
      <c r="M401" s="4"/>
      <c r="N401" s="4"/>
      <c r="O401" s="4"/>
      <c r="P401" s="4"/>
    </row>
    <row r="402" spans="1:16" ht="12.75">
      <c r="A402" s="4"/>
      <c r="B402" s="5"/>
      <c r="C402" s="5"/>
      <c r="D402" s="4"/>
      <c r="E402" s="4"/>
      <c r="F402" s="4"/>
      <c r="G402" s="5"/>
      <c r="H402" s="4"/>
      <c r="I402" s="4"/>
      <c r="J402" s="4"/>
      <c r="K402" s="4"/>
      <c r="L402" s="4"/>
      <c r="M402" s="4"/>
      <c r="N402" s="4"/>
      <c r="O402" s="4"/>
      <c r="P402" s="4"/>
    </row>
    <row r="403" spans="1:16" ht="12.75">
      <c r="A403" s="4"/>
      <c r="B403" s="5"/>
      <c r="C403" s="5"/>
      <c r="D403" s="4"/>
      <c r="E403" s="4"/>
      <c r="F403" s="4"/>
      <c r="G403" s="5"/>
      <c r="H403" s="4"/>
      <c r="I403" s="4"/>
      <c r="J403" s="4"/>
      <c r="K403" s="4"/>
      <c r="L403" s="4"/>
      <c r="M403" s="4"/>
      <c r="N403" s="4"/>
      <c r="O403" s="4"/>
      <c r="P403" s="4"/>
    </row>
    <row r="404" spans="1:16" ht="12.75">
      <c r="A404" s="4"/>
      <c r="B404" s="5"/>
      <c r="C404" s="5"/>
      <c r="D404" s="4"/>
      <c r="E404" s="4"/>
      <c r="F404" s="4"/>
      <c r="G404" s="5"/>
      <c r="H404" s="4"/>
      <c r="I404" s="4"/>
      <c r="J404" s="4"/>
      <c r="K404" s="4"/>
      <c r="L404" s="4"/>
      <c r="M404" s="4"/>
      <c r="N404" s="4"/>
      <c r="O404" s="4"/>
      <c r="P404" s="4"/>
    </row>
    <row r="405" spans="1:16" ht="12.75">
      <c r="A405" s="4"/>
      <c r="B405" s="5"/>
      <c r="C405" s="5"/>
      <c r="D405" s="4"/>
      <c r="E405" s="4"/>
      <c r="F405" s="4"/>
      <c r="G405" s="5"/>
      <c r="H405" s="4"/>
      <c r="I405" s="4"/>
      <c r="J405" s="4"/>
      <c r="K405" s="4"/>
      <c r="L405" s="4"/>
      <c r="M405" s="4"/>
      <c r="N405" s="4"/>
      <c r="O405" s="4"/>
      <c r="P405" s="4"/>
    </row>
    <row r="406" spans="1:16" ht="12.75">
      <c r="A406" s="4"/>
      <c r="B406" s="5"/>
      <c r="C406" s="5"/>
      <c r="D406" s="4"/>
      <c r="E406" s="4"/>
      <c r="F406" s="4"/>
      <c r="G406" s="5"/>
      <c r="H406" s="4"/>
      <c r="I406" s="4"/>
      <c r="J406" s="4"/>
      <c r="K406" s="4"/>
      <c r="L406" s="4"/>
      <c r="M406" s="4"/>
      <c r="N406" s="4"/>
      <c r="O406" s="4"/>
      <c r="P406" s="4"/>
    </row>
    <row r="407" spans="1:16" ht="12.75">
      <c r="A407" s="4"/>
      <c r="B407" s="5"/>
      <c r="C407" s="5"/>
      <c r="D407" s="4"/>
      <c r="E407" s="4"/>
      <c r="F407" s="4"/>
      <c r="G407" s="5"/>
      <c r="H407" s="4"/>
      <c r="I407" s="4"/>
      <c r="J407" s="4"/>
      <c r="K407" s="4"/>
      <c r="L407" s="4"/>
      <c r="M407" s="4"/>
      <c r="N407" s="4"/>
      <c r="O407" s="4"/>
      <c r="P407" s="4"/>
    </row>
    <row r="408" spans="1:16" ht="12.75">
      <c r="A408" s="4"/>
      <c r="B408" s="5"/>
      <c r="C408" s="5"/>
      <c r="D408" s="4"/>
      <c r="E408" s="4"/>
      <c r="F408" s="4"/>
      <c r="G408" s="5"/>
      <c r="H408" s="4"/>
      <c r="I408" s="4"/>
      <c r="J408" s="4"/>
      <c r="K408" s="4"/>
      <c r="L408" s="4"/>
      <c r="M408" s="4"/>
      <c r="N408" s="4"/>
      <c r="O408" s="4"/>
      <c r="P408" s="4"/>
    </row>
    <row r="409" spans="1:16" ht="12.75">
      <c r="A409" s="4"/>
      <c r="B409" s="5"/>
      <c r="C409" s="5"/>
      <c r="D409" s="4"/>
      <c r="E409" s="4"/>
      <c r="F409" s="4"/>
      <c r="G409" s="5"/>
      <c r="H409" s="4"/>
      <c r="I409" s="4"/>
      <c r="J409" s="4"/>
      <c r="K409" s="4"/>
      <c r="L409" s="4"/>
      <c r="M409" s="4"/>
      <c r="N409" s="4"/>
      <c r="O409" s="4"/>
      <c r="P409" s="4"/>
    </row>
    <row r="410" spans="1:16" ht="12.75">
      <c r="A410" s="4"/>
      <c r="B410" s="5"/>
      <c r="C410" s="5"/>
      <c r="D410" s="4"/>
      <c r="E410" s="4"/>
      <c r="F410" s="4"/>
      <c r="G410" s="5"/>
      <c r="H410" s="4"/>
      <c r="I410" s="4"/>
      <c r="J410" s="4"/>
      <c r="K410" s="4"/>
      <c r="L410" s="4"/>
      <c r="M410" s="4"/>
      <c r="N410" s="4"/>
      <c r="O410" s="4"/>
      <c r="P410" s="4"/>
    </row>
    <row r="411" spans="1:16" ht="12.75">
      <c r="A411" s="4"/>
      <c r="B411" s="5"/>
      <c r="C411" s="5"/>
      <c r="D411" s="4"/>
      <c r="E411" s="4"/>
      <c r="F411" s="4"/>
      <c r="G411" s="5"/>
      <c r="H411" s="4"/>
      <c r="I411" s="4"/>
      <c r="J411" s="4"/>
      <c r="K411" s="4"/>
      <c r="L411" s="4"/>
      <c r="M411" s="4"/>
      <c r="N411" s="4"/>
      <c r="O411" s="4"/>
      <c r="P411" s="4"/>
    </row>
    <row r="412" spans="1:16" ht="12.75">
      <c r="A412" s="4"/>
      <c r="B412" s="5"/>
      <c r="C412" s="5"/>
      <c r="D412" s="4"/>
      <c r="E412" s="4"/>
      <c r="F412" s="4"/>
      <c r="G412" s="5"/>
      <c r="H412" s="4"/>
      <c r="I412" s="4"/>
      <c r="J412" s="4"/>
      <c r="K412" s="4"/>
      <c r="L412" s="4"/>
      <c r="M412" s="4"/>
      <c r="N412" s="4"/>
      <c r="O412" s="4"/>
      <c r="P412" s="4"/>
    </row>
    <row r="413" spans="1:16" ht="12.75">
      <c r="A413" s="4"/>
      <c r="B413" s="5"/>
      <c r="C413" s="5"/>
      <c r="D413" s="4"/>
      <c r="E413" s="4"/>
      <c r="F413" s="4"/>
      <c r="G413" s="5"/>
      <c r="H413" s="4"/>
      <c r="I413" s="4"/>
      <c r="J413" s="4"/>
      <c r="K413" s="4"/>
      <c r="L413" s="4"/>
      <c r="M413" s="4"/>
      <c r="N413" s="4"/>
      <c r="O413" s="4"/>
      <c r="P413" s="4"/>
    </row>
    <row r="414" spans="1:16" ht="12.75">
      <c r="A414" s="4"/>
      <c r="B414" s="5"/>
      <c r="C414" s="5"/>
      <c r="D414" s="4"/>
      <c r="E414" s="4"/>
      <c r="F414" s="4"/>
      <c r="G414" s="5"/>
      <c r="H414" s="4"/>
      <c r="I414" s="4"/>
      <c r="J414" s="4"/>
      <c r="K414" s="4"/>
      <c r="L414" s="4"/>
      <c r="M414" s="4"/>
      <c r="N414" s="4"/>
      <c r="O414" s="4"/>
      <c r="P414" s="4"/>
    </row>
    <row r="415" spans="1:16" ht="12.75">
      <c r="A415" s="4"/>
      <c r="B415" s="5"/>
      <c r="C415" s="5"/>
      <c r="D415" s="4"/>
      <c r="E415" s="4"/>
      <c r="F415" s="4"/>
      <c r="G415" s="5"/>
      <c r="H415" s="4"/>
      <c r="I415" s="4"/>
      <c r="J415" s="4"/>
      <c r="K415" s="4"/>
      <c r="L415" s="4"/>
      <c r="M415" s="4"/>
      <c r="N415" s="4"/>
      <c r="O415" s="4"/>
      <c r="P415" s="4"/>
    </row>
    <row r="416" spans="1:16" ht="12.75">
      <c r="A416" s="4"/>
      <c r="B416" s="5"/>
      <c r="C416" s="5"/>
      <c r="D416" s="4"/>
      <c r="E416" s="4"/>
      <c r="F416" s="4"/>
      <c r="G416" s="5"/>
      <c r="H416" s="4"/>
      <c r="I416" s="4"/>
      <c r="J416" s="4"/>
      <c r="K416" s="4"/>
      <c r="L416" s="4"/>
      <c r="M416" s="4"/>
      <c r="N416" s="4"/>
      <c r="O416" s="4"/>
      <c r="P416" s="4"/>
    </row>
    <row r="417" spans="1:16" ht="12.75">
      <c r="A417" s="4"/>
      <c r="B417" s="5"/>
      <c r="C417" s="5"/>
      <c r="D417" s="4"/>
      <c r="E417" s="4"/>
      <c r="F417" s="4"/>
      <c r="G417" s="5"/>
      <c r="H417" s="4"/>
      <c r="I417" s="4"/>
      <c r="J417" s="4"/>
      <c r="K417" s="4"/>
      <c r="L417" s="4"/>
      <c r="M417" s="4"/>
      <c r="N417" s="4"/>
      <c r="O417" s="4"/>
      <c r="P417" s="4"/>
    </row>
    <row r="418" spans="1:16" ht="12.75">
      <c r="A418" s="4"/>
      <c r="B418" s="5"/>
      <c r="C418" s="5"/>
      <c r="D418" s="4"/>
      <c r="E418" s="4"/>
      <c r="F418" s="4"/>
      <c r="G418" s="5"/>
      <c r="H418" s="4"/>
      <c r="I418" s="4"/>
      <c r="J418" s="4"/>
      <c r="K418" s="4"/>
      <c r="L418" s="4"/>
      <c r="M418" s="4"/>
      <c r="N418" s="4"/>
      <c r="O418" s="4"/>
      <c r="P418" s="4"/>
    </row>
    <row r="419" spans="1:16" ht="12.75">
      <c r="A419" s="4"/>
      <c r="B419" s="5"/>
      <c r="C419" s="5"/>
      <c r="D419" s="4"/>
      <c r="E419" s="4"/>
      <c r="F419" s="4"/>
      <c r="G419" s="5"/>
      <c r="H419" s="4"/>
      <c r="I419" s="4"/>
      <c r="J419" s="4"/>
      <c r="K419" s="4"/>
      <c r="L419" s="4"/>
      <c r="M419" s="4"/>
      <c r="N419" s="4"/>
      <c r="O419" s="4"/>
      <c r="P419" s="4"/>
    </row>
    <row r="420" spans="1:16" ht="12.75">
      <c r="A420" s="4"/>
      <c r="B420" s="5"/>
      <c r="C420" s="5"/>
      <c r="D420" s="4"/>
      <c r="E420" s="4"/>
      <c r="F420" s="4"/>
      <c r="G420" s="5"/>
      <c r="H420" s="4"/>
      <c r="I420" s="4"/>
      <c r="J420" s="4"/>
      <c r="K420" s="4"/>
      <c r="L420" s="4"/>
      <c r="M420" s="4"/>
      <c r="N420" s="4"/>
      <c r="O420" s="4"/>
      <c r="P420" s="4"/>
    </row>
    <row r="421" spans="1:16" ht="12.75">
      <c r="A421" s="4"/>
      <c r="B421" s="5"/>
      <c r="C421" s="5"/>
      <c r="D421" s="4"/>
      <c r="E421" s="4"/>
      <c r="F421" s="4"/>
      <c r="G421" s="5"/>
      <c r="H421" s="4"/>
      <c r="I421" s="4"/>
      <c r="J421" s="4"/>
      <c r="K421" s="4"/>
      <c r="L421" s="4"/>
      <c r="M421" s="4"/>
      <c r="N421" s="4"/>
      <c r="O421" s="4"/>
      <c r="P421" s="4"/>
    </row>
    <row r="422" spans="1:16" ht="12.75">
      <c r="A422" s="4"/>
      <c r="B422" s="5"/>
      <c r="C422" s="5"/>
      <c r="D422" s="4"/>
      <c r="E422" s="4"/>
      <c r="F422" s="4"/>
      <c r="G422" s="5"/>
      <c r="H422" s="4"/>
      <c r="I422" s="4"/>
      <c r="J422" s="4"/>
      <c r="K422" s="4"/>
      <c r="L422" s="4"/>
      <c r="M422" s="4"/>
      <c r="N422" s="4"/>
      <c r="O422" s="4"/>
      <c r="P422" s="4"/>
    </row>
    <row r="423" spans="1:16" ht="12.75">
      <c r="A423" s="4"/>
      <c r="B423" s="5"/>
      <c r="C423" s="5"/>
      <c r="D423" s="4"/>
      <c r="E423" s="4"/>
      <c r="F423" s="4"/>
      <c r="G423" s="5"/>
      <c r="H423" s="4"/>
      <c r="I423" s="4"/>
      <c r="J423" s="4"/>
      <c r="K423" s="4"/>
      <c r="L423" s="4"/>
      <c r="M423" s="4"/>
      <c r="N423" s="4"/>
      <c r="O423" s="4"/>
      <c r="P423" s="4"/>
    </row>
    <row r="424" spans="1:16" ht="12.75">
      <c r="A424" s="4"/>
      <c r="B424" s="5"/>
      <c r="C424" s="5"/>
      <c r="D424" s="4"/>
      <c r="E424" s="4"/>
      <c r="F424" s="4"/>
      <c r="G424" s="5"/>
      <c r="H424" s="4"/>
      <c r="I424" s="4"/>
      <c r="J424" s="4"/>
      <c r="K424" s="4"/>
      <c r="L424" s="4"/>
      <c r="M424" s="4"/>
      <c r="N424" s="4"/>
      <c r="O424" s="4"/>
      <c r="P424" s="4"/>
    </row>
    <row r="425" spans="1:16" ht="12.75">
      <c r="A425" s="4"/>
      <c r="B425" s="5"/>
      <c r="C425" s="5"/>
      <c r="D425" s="4"/>
      <c r="E425" s="4"/>
      <c r="F425" s="4"/>
      <c r="G425" s="5"/>
      <c r="H425" s="4"/>
      <c r="I425" s="4"/>
      <c r="J425" s="4"/>
      <c r="K425" s="4"/>
      <c r="L425" s="4"/>
      <c r="M425" s="4"/>
      <c r="N425" s="4"/>
      <c r="O425" s="4"/>
      <c r="P425" s="4"/>
    </row>
    <row r="426" spans="1:16" ht="12.75">
      <c r="A426" s="4"/>
      <c r="B426" s="5"/>
      <c r="C426" s="5"/>
      <c r="D426" s="4"/>
      <c r="E426" s="4"/>
      <c r="F426" s="4"/>
      <c r="G426" s="5"/>
      <c r="H426" s="4"/>
      <c r="I426" s="4"/>
      <c r="J426" s="4"/>
      <c r="K426" s="4"/>
      <c r="L426" s="4"/>
      <c r="M426" s="4"/>
      <c r="N426" s="4"/>
      <c r="O426" s="4"/>
      <c r="P426" s="4"/>
    </row>
    <row r="427" spans="1:16" ht="12.75">
      <c r="A427" s="4"/>
      <c r="B427" s="5"/>
      <c r="C427" s="5"/>
      <c r="D427" s="4"/>
      <c r="E427" s="4"/>
      <c r="F427" s="4"/>
      <c r="G427" s="5"/>
      <c r="H427" s="4"/>
      <c r="I427" s="4"/>
      <c r="J427" s="4"/>
      <c r="K427" s="4"/>
      <c r="L427" s="4"/>
      <c r="M427" s="4"/>
      <c r="N427" s="4"/>
      <c r="O427" s="4"/>
      <c r="P427" s="4"/>
    </row>
    <row r="428" spans="1:16" ht="12.75">
      <c r="A428" s="4"/>
      <c r="B428" s="5"/>
      <c r="C428" s="5"/>
      <c r="D428" s="4"/>
      <c r="E428" s="4"/>
      <c r="F428" s="4"/>
      <c r="G428" s="5"/>
      <c r="H428" s="4"/>
      <c r="I428" s="4"/>
      <c r="J428" s="4"/>
      <c r="K428" s="4"/>
      <c r="L428" s="4"/>
      <c r="M428" s="4"/>
      <c r="N428" s="4"/>
      <c r="O428" s="4"/>
      <c r="P428" s="4"/>
    </row>
    <row r="429" spans="1:16" ht="12.75">
      <c r="A429" s="4"/>
      <c r="B429" s="5"/>
      <c r="C429" s="5"/>
      <c r="D429" s="4"/>
      <c r="E429" s="4"/>
      <c r="F429" s="4"/>
      <c r="G429" s="5"/>
      <c r="H429" s="4"/>
      <c r="I429" s="4"/>
      <c r="J429" s="4"/>
      <c r="K429" s="4"/>
      <c r="L429" s="4"/>
      <c r="M429" s="4"/>
      <c r="N429" s="4"/>
      <c r="O429" s="4"/>
      <c r="P429" s="4"/>
    </row>
    <row r="430" spans="1:16" ht="12.75">
      <c r="A430" s="4"/>
      <c r="B430" s="5"/>
      <c r="C430" s="5"/>
      <c r="D430" s="4"/>
      <c r="E430" s="4"/>
      <c r="F430" s="4"/>
      <c r="G430" s="5"/>
      <c r="H430" s="4"/>
      <c r="I430" s="4"/>
      <c r="J430" s="4"/>
      <c r="K430" s="4"/>
      <c r="L430" s="4"/>
      <c r="M430" s="4"/>
      <c r="N430" s="4"/>
      <c r="O430" s="4"/>
      <c r="P430" s="4"/>
    </row>
    <row r="431" spans="1:16" ht="12.75">
      <c r="A431" s="4"/>
      <c r="B431" s="5"/>
      <c r="C431" s="5"/>
      <c r="D431" s="4"/>
      <c r="E431" s="4"/>
      <c r="F431" s="4"/>
      <c r="G431" s="5"/>
      <c r="H431" s="4"/>
      <c r="I431" s="4"/>
      <c r="J431" s="4"/>
      <c r="K431" s="4"/>
      <c r="L431" s="4"/>
      <c r="M431" s="4"/>
      <c r="N431" s="4"/>
      <c r="O431" s="4"/>
      <c r="P431" s="4"/>
    </row>
    <row r="432" spans="1:16" ht="12.75">
      <c r="A432" s="4"/>
      <c r="B432" s="5"/>
      <c r="C432" s="5"/>
      <c r="D432" s="4"/>
      <c r="E432" s="4"/>
      <c r="F432" s="4"/>
      <c r="G432" s="5"/>
      <c r="H432" s="4"/>
      <c r="I432" s="4"/>
      <c r="J432" s="4"/>
      <c r="K432" s="4"/>
      <c r="L432" s="4"/>
      <c r="M432" s="4"/>
      <c r="N432" s="4"/>
      <c r="O432" s="4"/>
      <c r="P432" s="4"/>
    </row>
    <row r="433" spans="1:16" ht="12.75">
      <c r="A433" s="4"/>
      <c r="B433" s="5"/>
      <c r="C433" s="5"/>
      <c r="D433" s="4"/>
      <c r="E433" s="4"/>
      <c r="F433" s="4"/>
      <c r="G433" s="5"/>
      <c r="H433" s="4"/>
      <c r="I433" s="4"/>
      <c r="J433" s="4"/>
      <c r="K433" s="4"/>
      <c r="L433" s="4"/>
      <c r="M433" s="4"/>
      <c r="N433" s="4"/>
      <c r="O433" s="4"/>
      <c r="P433" s="4"/>
    </row>
    <row r="434" spans="1:16" ht="12.75">
      <c r="A434" s="4"/>
      <c r="B434" s="5"/>
      <c r="C434" s="5"/>
      <c r="D434" s="4"/>
      <c r="E434" s="4"/>
      <c r="F434" s="4"/>
      <c r="G434" s="5"/>
      <c r="H434" s="4"/>
      <c r="I434" s="4"/>
      <c r="J434" s="4"/>
      <c r="K434" s="4"/>
      <c r="L434" s="4"/>
      <c r="M434" s="4"/>
      <c r="N434" s="4"/>
      <c r="O434" s="4"/>
      <c r="P434" s="4"/>
    </row>
    <row r="435" spans="1:16" ht="12.75">
      <c r="A435" s="4"/>
      <c r="B435" s="5"/>
      <c r="C435" s="5"/>
      <c r="D435" s="4"/>
      <c r="E435" s="4"/>
      <c r="F435" s="4"/>
      <c r="G435" s="5"/>
      <c r="H435" s="4"/>
      <c r="I435" s="4"/>
      <c r="J435" s="4"/>
      <c r="K435" s="4"/>
      <c r="L435" s="4"/>
      <c r="M435" s="4"/>
      <c r="N435" s="4"/>
      <c r="O435" s="4"/>
      <c r="P435" s="4"/>
    </row>
    <row r="436" spans="1:16" ht="12.75">
      <c r="A436" s="4"/>
      <c r="B436" s="5"/>
      <c r="C436" s="5"/>
      <c r="D436" s="4"/>
      <c r="E436" s="4"/>
      <c r="F436" s="4"/>
      <c r="G436" s="5"/>
      <c r="H436" s="4"/>
      <c r="I436" s="4"/>
      <c r="J436" s="4"/>
      <c r="K436" s="4"/>
      <c r="L436" s="4"/>
      <c r="M436" s="4"/>
      <c r="N436" s="4"/>
      <c r="O436" s="4"/>
      <c r="P436" s="4"/>
    </row>
    <row r="437" spans="1:16" ht="12.75">
      <c r="A437" s="4"/>
      <c r="B437" s="5"/>
      <c r="C437" s="5"/>
      <c r="D437" s="4"/>
      <c r="E437" s="4"/>
      <c r="F437" s="4"/>
      <c r="G437" s="5"/>
      <c r="H437" s="4"/>
      <c r="I437" s="4"/>
      <c r="J437" s="4"/>
      <c r="K437" s="4"/>
      <c r="L437" s="4"/>
      <c r="M437" s="4"/>
      <c r="N437" s="4"/>
      <c r="O437" s="4"/>
      <c r="P437" s="4"/>
    </row>
    <row r="438" spans="1:16" ht="12.75">
      <c r="A438" s="4"/>
      <c r="B438" s="5"/>
      <c r="C438" s="5"/>
      <c r="D438" s="4"/>
      <c r="E438" s="4"/>
      <c r="F438" s="4"/>
      <c r="G438" s="5"/>
      <c r="H438" s="4"/>
      <c r="I438" s="4"/>
      <c r="J438" s="4"/>
      <c r="K438" s="4"/>
      <c r="L438" s="4"/>
      <c r="M438" s="4"/>
      <c r="N438" s="4"/>
      <c r="O438" s="4"/>
      <c r="P438" s="4"/>
    </row>
    <row r="439" spans="1:16" ht="12.75">
      <c r="A439" s="4"/>
      <c r="B439" s="5"/>
      <c r="C439" s="5"/>
      <c r="D439" s="4"/>
      <c r="E439" s="4"/>
      <c r="F439" s="4"/>
      <c r="G439" s="5"/>
      <c r="H439" s="4"/>
      <c r="I439" s="4"/>
      <c r="J439" s="4"/>
      <c r="K439" s="4"/>
      <c r="L439" s="4"/>
      <c r="M439" s="4"/>
      <c r="N439" s="4"/>
      <c r="O439" s="4"/>
      <c r="P439" s="4"/>
    </row>
    <row r="440" spans="1:16" ht="12.75">
      <c r="A440" s="4"/>
      <c r="B440" s="5"/>
      <c r="C440" s="5"/>
      <c r="D440" s="4"/>
      <c r="E440" s="4"/>
      <c r="F440" s="4"/>
      <c r="G440" s="5"/>
      <c r="H440" s="4"/>
      <c r="I440" s="4"/>
      <c r="J440" s="4"/>
      <c r="K440" s="4"/>
      <c r="L440" s="4"/>
      <c r="M440" s="4"/>
      <c r="N440" s="4"/>
      <c r="O440" s="4"/>
      <c r="P440" s="4"/>
    </row>
    <row r="441" spans="1:16" ht="12.75">
      <c r="A441" s="4"/>
      <c r="B441" s="5"/>
      <c r="C441" s="5"/>
      <c r="D441" s="4"/>
      <c r="E441" s="4"/>
      <c r="F441" s="4"/>
      <c r="G441" s="5"/>
      <c r="H441" s="4"/>
      <c r="I441" s="4"/>
      <c r="J441" s="4"/>
      <c r="K441" s="4"/>
      <c r="L441" s="4"/>
      <c r="M441" s="4"/>
      <c r="N441" s="4"/>
      <c r="O441" s="4"/>
      <c r="P441" s="4"/>
    </row>
    <row r="442" spans="1:16" ht="12.75">
      <c r="A442" s="4"/>
      <c r="B442" s="5"/>
      <c r="C442" s="5"/>
      <c r="D442" s="4"/>
      <c r="E442" s="4"/>
      <c r="F442" s="4"/>
      <c r="G442" s="5"/>
      <c r="H442" s="4"/>
      <c r="I442" s="4"/>
      <c r="J442" s="4"/>
      <c r="K442" s="4"/>
      <c r="L442" s="4"/>
      <c r="M442" s="4"/>
      <c r="N442" s="4"/>
      <c r="O442" s="4"/>
      <c r="P442" s="4"/>
    </row>
    <row r="443" spans="1:16" ht="12.75">
      <c r="A443" s="4"/>
      <c r="B443" s="5"/>
      <c r="C443" s="5"/>
      <c r="D443" s="4"/>
      <c r="E443" s="4"/>
      <c r="F443" s="4"/>
      <c r="G443" s="5"/>
      <c r="H443" s="4"/>
      <c r="I443" s="4"/>
      <c r="J443" s="4"/>
      <c r="K443" s="4"/>
      <c r="L443" s="4"/>
      <c r="M443" s="4"/>
      <c r="N443" s="4"/>
      <c r="O443" s="4"/>
      <c r="P443" s="4"/>
    </row>
    <row r="444" spans="1:16" ht="12.75">
      <c r="A444" s="4"/>
      <c r="B444" s="5"/>
      <c r="C444" s="5"/>
      <c r="D444" s="4"/>
      <c r="E444" s="4"/>
      <c r="F444" s="4"/>
      <c r="G444" s="5"/>
      <c r="H444" s="4"/>
      <c r="I444" s="4"/>
      <c r="J444" s="4"/>
      <c r="K444" s="4"/>
      <c r="L444" s="4"/>
      <c r="M444" s="4"/>
      <c r="N444" s="4"/>
      <c r="O444" s="4"/>
      <c r="P444" s="4"/>
    </row>
    <row r="445" spans="1:16" ht="12.75">
      <c r="A445" s="4"/>
      <c r="B445" s="5"/>
      <c r="C445" s="5"/>
      <c r="D445" s="4"/>
      <c r="E445" s="4"/>
      <c r="F445" s="4"/>
      <c r="G445" s="5"/>
      <c r="H445" s="4"/>
      <c r="I445" s="4"/>
      <c r="J445" s="4"/>
      <c r="K445" s="4"/>
      <c r="L445" s="4"/>
      <c r="M445" s="4"/>
      <c r="N445" s="4"/>
      <c r="O445" s="4"/>
      <c r="P445" s="4"/>
    </row>
    <row r="446" spans="1:16" ht="12.75">
      <c r="A446" s="4"/>
      <c r="B446" s="5"/>
      <c r="C446" s="5"/>
      <c r="D446" s="4"/>
      <c r="E446" s="4"/>
      <c r="F446" s="4"/>
      <c r="G446" s="5"/>
      <c r="H446" s="4"/>
      <c r="I446" s="4"/>
      <c r="J446" s="4"/>
      <c r="K446" s="4"/>
      <c r="L446" s="4"/>
      <c r="M446" s="4"/>
      <c r="N446" s="4"/>
      <c r="O446" s="4"/>
      <c r="P446" s="4"/>
    </row>
    <row r="447" spans="1:16" ht="12.75">
      <c r="A447" s="4"/>
      <c r="B447" s="5"/>
      <c r="C447" s="5"/>
      <c r="D447" s="4"/>
      <c r="E447" s="4"/>
      <c r="F447" s="4"/>
      <c r="G447" s="5"/>
      <c r="H447" s="4"/>
      <c r="I447" s="4"/>
      <c r="J447" s="4"/>
      <c r="K447" s="4"/>
      <c r="L447" s="4"/>
      <c r="M447" s="4"/>
      <c r="N447" s="4"/>
      <c r="O447" s="4"/>
      <c r="P447" s="4"/>
    </row>
    <row r="448" spans="1:16" ht="12.75">
      <c r="A448" s="4"/>
      <c r="B448" s="5"/>
      <c r="C448" s="5"/>
      <c r="D448" s="4"/>
      <c r="E448" s="4"/>
      <c r="F448" s="4"/>
      <c r="G448" s="5"/>
      <c r="H448" s="4"/>
      <c r="I448" s="4"/>
      <c r="J448" s="4"/>
      <c r="K448" s="4"/>
      <c r="L448" s="4"/>
      <c r="M448" s="4"/>
      <c r="N448" s="4"/>
      <c r="O448" s="4"/>
      <c r="P448" s="4"/>
    </row>
    <row r="449" spans="1:16" ht="12.75">
      <c r="A449" s="4"/>
      <c r="B449" s="5"/>
      <c r="C449" s="5"/>
      <c r="D449" s="4"/>
      <c r="E449" s="4"/>
      <c r="F449" s="4"/>
      <c r="G449" s="5"/>
      <c r="H449" s="4"/>
      <c r="I449" s="4"/>
      <c r="J449" s="4"/>
      <c r="K449" s="4"/>
      <c r="L449" s="4"/>
      <c r="M449" s="4"/>
      <c r="N449" s="4"/>
      <c r="O449" s="4"/>
      <c r="P449" s="4"/>
    </row>
    <row r="450" spans="1:16" ht="12.75">
      <c r="A450" s="4"/>
      <c r="B450" s="5"/>
      <c r="C450" s="5"/>
      <c r="D450" s="4"/>
      <c r="E450" s="4"/>
      <c r="F450" s="4"/>
      <c r="G450" s="5"/>
      <c r="H450" s="4"/>
      <c r="I450" s="4"/>
      <c r="J450" s="4"/>
      <c r="K450" s="4"/>
      <c r="L450" s="4"/>
      <c r="M450" s="4"/>
      <c r="N450" s="4"/>
      <c r="O450" s="4"/>
      <c r="P450" s="4"/>
    </row>
    <row r="451" spans="1:16" ht="12.75">
      <c r="A451" s="4"/>
      <c r="B451" s="5"/>
      <c r="C451" s="5"/>
      <c r="D451" s="4"/>
      <c r="E451" s="4"/>
      <c r="F451" s="4"/>
      <c r="G451" s="5"/>
      <c r="H451" s="4"/>
      <c r="I451" s="4"/>
      <c r="J451" s="4"/>
      <c r="K451" s="4"/>
      <c r="L451" s="4"/>
      <c r="M451" s="4"/>
      <c r="N451" s="4"/>
      <c r="O451" s="4"/>
      <c r="P451" s="4"/>
    </row>
    <row r="452" spans="1:16" ht="12.75">
      <c r="A452" s="4"/>
      <c r="B452" s="5"/>
      <c r="C452" s="5"/>
      <c r="D452" s="4"/>
      <c r="E452" s="4"/>
      <c r="F452" s="4"/>
      <c r="G452" s="5"/>
      <c r="H452" s="4"/>
      <c r="I452" s="4"/>
      <c r="J452" s="4"/>
      <c r="K452" s="4"/>
      <c r="L452" s="4"/>
      <c r="M452" s="4"/>
      <c r="N452" s="4"/>
      <c r="O452" s="4"/>
      <c r="P452" s="4"/>
    </row>
    <row r="453" spans="1:16" ht="12.75">
      <c r="A453" s="4"/>
      <c r="B453" s="5"/>
      <c r="C453" s="5"/>
      <c r="D453" s="4"/>
      <c r="E453" s="4"/>
      <c r="F453" s="4"/>
      <c r="G453" s="5"/>
      <c r="H453" s="4"/>
      <c r="I453" s="4"/>
      <c r="J453" s="4"/>
      <c r="K453" s="4"/>
      <c r="L453" s="4"/>
      <c r="M453" s="4"/>
      <c r="N453" s="4"/>
      <c r="O453" s="4"/>
      <c r="P453" s="4"/>
    </row>
    <row r="454" spans="1:16" ht="12.75">
      <c r="A454" s="4"/>
      <c r="B454" s="5"/>
      <c r="C454" s="5"/>
      <c r="D454" s="4"/>
      <c r="E454" s="4"/>
      <c r="F454" s="4"/>
      <c r="G454" s="5"/>
      <c r="H454" s="4"/>
      <c r="I454" s="4"/>
      <c r="J454" s="4"/>
      <c r="K454" s="4"/>
      <c r="L454" s="4"/>
      <c r="M454" s="4"/>
      <c r="N454" s="4"/>
      <c r="O454" s="4"/>
      <c r="P454" s="4"/>
    </row>
    <row r="455" spans="1:16" ht="12.75">
      <c r="A455" s="4"/>
      <c r="B455" s="5"/>
      <c r="C455" s="5"/>
      <c r="D455" s="4"/>
      <c r="E455" s="4"/>
      <c r="F455" s="4"/>
      <c r="G455" s="5"/>
      <c r="H455" s="4"/>
      <c r="I455" s="4"/>
      <c r="J455" s="4"/>
      <c r="K455" s="4"/>
      <c r="L455" s="4"/>
      <c r="M455" s="4"/>
      <c r="N455" s="4"/>
      <c r="O455" s="4"/>
      <c r="P455" s="4"/>
    </row>
    <row r="456" spans="1:16" ht="12.75">
      <c r="A456" s="4"/>
      <c r="B456" s="5"/>
      <c r="C456" s="5"/>
      <c r="D456" s="4"/>
      <c r="E456" s="4"/>
      <c r="F456" s="4"/>
      <c r="G456" s="5"/>
      <c r="H456" s="4"/>
      <c r="I456" s="4"/>
      <c r="J456" s="4"/>
      <c r="K456" s="4"/>
      <c r="L456" s="4"/>
      <c r="M456" s="4"/>
      <c r="N456" s="4"/>
      <c r="O456" s="4"/>
      <c r="P456" s="4"/>
    </row>
    <row r="457" spans="1:16" ht="12.75">
      <c r="A457" s="4"/>
      <c r="B457" s="5"/>
      <c r="C457" s="5"/>
      <c r="D457" s="4"/>
      <c r="E457" s="4"/>
      <c r="F457" s="4"/>
      <c r="G457" s="5"/>
      <c r="H457" s="4"/>
      <c r="I457" s="4"/>
      <c r="J457" s="4"/>
      <c r="K457" s="4"/>
      <c r="L457" s="4"/>
      <c r="M457" s="4"/>
      <c r="N457" s="4"/>
      <c r="O457" s="4"/>
      <c r="P457" s="4"/>
    </row>
    <row r="458" spans="1:16" ht="12.75">
      <c r="A458" s="4"/>
      <c r="B458" s="5"/>
      <c r="C458" s="5"/>
      <c r="D458" s="4"/>
      <c r="E458" s="4"/>
      <c r="F458" s="4"/>
      <c r="G458" s="5"/>
      <c r="H458" s="4"/>
      <c r="I458" s="4"/>
      <c r="J458" s="4"/>
      <c r="K458" s="4"/>
      <c r="L458" s="4"/>
      <c r="M458" s="4"/>
      <c r="N458" s="4"/>
      <c r="O458" s="4"/>
      <c r="P458" s="4"/>
    </row>
    <row r="459" spans="1:16" ht="12.75">
      <c r="A459" s="4"/>
      <c r="B459" s="5"/>
      <c r="C459" s="5"/>
      <c r="D459" s="4"/>
      <c r="E459" s="4"/>
      <c r="F459" s="4"/>
      <c r="G459" s="5"/>
      <c r="H459" s="4"/>
      <c r="I459" s="4"/>
      <c r="J459" s="4"/>
      <c r="K459" s="4"/>
      <c r="L459" s="4"/>
      <c r="M459" s="4"/>
      <c r="N459" s="4"/>
      <c r="O459" s="4"/>
      <c r="P459" s="4"/>
    </row>
    <row r="460" spans="1:16" ht="12.75">
      <c r="A460" s="4"/>
      <c r="B460" s="5"/>
      <c r="C460" s="5"/>
      <c r="D460" s="4"/>
      <c r="E460" s="4"/>
      <c r="F460" s="4"/>
      <c r="G460" s="5"/>
      <c r="H460" s="4"/>
      <c r="I460" s="4"/>
      <c r="J460" s="4"/>
      <c r="K460" s="4"/>
      <c r="L460" s="4"/>
      <c r="M460" s="4"/>
      <c r="N460" s="4"/>
      <c r="O460" s="4"/>
      <c r="P460" s="4"/>
    </row>
    <row r="461" spans="1:16" ht="12.75">
      <c r="A461" s="4"/>
      <c r="B461" s="5"/>
      <c r="C461" s="5"/>
      <c r="D461" s="4"/>
      <c r="E461" s="4"/>
      <c r="F461" s="4"/>
      <c r="G461" s="5"/>
      <c r="H461" s="4"/>
      <c r="I461" s="4"/>
      <c r="J461" s="4"/>
      <c r="K461" s="4"/>
      <c r="L461" s="4"/>
      <c r="M461" s="4"/>
      <c r="N461" s="4"/>
      <c r="O461" s="4"/>
      <c r="P461" s="4"/>
    </row>
    <row r="462" spans="1:16" ht="12.75">
      <c r="A462" s="4"/>
      <c r="B462" s="5"/>
      <c r="C462" s="5"/>
      <c r="D462" s="4"/>
      <c r="E462" s="4"/>
      <c r="F462" s="4"/>
      <c r="G462" s="5"/>
      <c r="H462" s="4"/>
      <c r="I462" s="4"/>
      <c r="J462" s="4"/>
      <c r="K462" s="4"/>
      <c r="L462" s="4"/>
      <c r="M462" s="4"/>
      <c r="N462" s="4"/>
      <c r="O462" s="4"/>
      <c r="P462" s="4"/>
    </row>
    <row r="463" spans="1:16" ht="12.75">
      <c r="A463" s="4"/>
      <c r="B463" s="5"/>
      <c r="C463" s="5"/>
      <c r="D463" s="4"/>
      <c r="E463" s="4"/>
      <c r="F463" s="4"/>
      <c r="G463" s="5"/>
      <c r="H463" s="4"/>
      <c r="I463" s="4"/>
      <c r="J463" s="4"/>
      <c r="K463" s="4"/>
      <c r="L463" s="4"/>
      <c r="M463" s="4"/>
      <c r="N463" s="4"/>
      <c r="O463" s="4"/>
      <c r="P463" s="4"/>
    </row>
    <row r="464" spans="1:16" ht="12.75">
      <c r="A464" s="4"/>
      <c r="B464" s="5"/>
      <c r="C464" s="5"/>
      <c r="D464" s="4"/>
      <c r="E464" s="4"/>
      <c r="F464" s="4"/>
      <c r="G464" s="5"/>
      <c r="H464" s="4"/>
      <c r="I464" s="4"/>
      <c r="J464" s="4"/>
      <c r="K464" s="4"/>
      <c r="L464" s="4"/>
      <c r="M464" s="4"/>
      <c r="N464" s="4"/>
      <c r="O464" s="4"/>
      <c r="P464" s="4"/>
    </row>
    <row r="465" spans="1:16" ht="12.75">
      <c r="A465" s="4"/>
      <c r="B465" s="5"/>
      <c r="C465" s="5"/>
      <c r="D465" s="4"/>
      <c r="E465" s="4"/>
      <c r="F465" s="4"/>
      <c r="G465" s="5"/>
      <c r="H465" s="4"/>
      <c r="I465" s="4"/>
      <c r="J465" s="4"/>
      <c r="K465" s="4"/>
      <c r="L465" s="4"/>
      <c r="M465" s="4"/>
      <c r="N465" s="4"/>
      <c r="O465" s="4"/>
      <c r="P465" s="4"/>
    </row>
    <row r="466" spans="1:16" ht="12.75">
      <c r="A466" s="4"/>
      <c r="B466" s="5"/>
      <c r="C466" s="5"/>
      <c r="D466" s="4"/>
      <c r="E466" s="4"/>
      <c r="F466" s="4"/>
      <c r="G466" s="5"/>
      <c r="H466" s="4"/>
      <c r="I466" s="4"/>
      <c r="J466" s="4"/>
      <c r="K466" s="4"/>
      <c r="L466" s="4"/>
      <c r="M466" s="4"/>
      <c r="N466" s="4"/>
      <c r="O466" s="4"/>
      <c r="P466" s="4"/>
    </row>
    <row r="467" spans="1:16" ht="12.75">
      <c r="A467" s="4"/>
      <c r="B467" s="5"/>
      <c r="C467" s="5"/>
      <c r="D467" s="4"/>
      <c r="E467" s="4"/>
      <c r="F467" s="4"/>
      <c r="G467" s="5"/>
      <c r="H467" s="4"/>
      <c r="I467" s="4"/>
      <c r="J467" s="4"/>
      <c r="K467" s="4"/>
      <c r="L467" s="4"/>
      <c r="M467" s="4"/>
      <c r="N467" s="4"/>
      <c r="O467" s="4"/>
      <c r="P467" s="4"/>
    </row>
    <row r="468" spans="1:16" ht="12.75">
      <c r="A468" s="4"/>
      <c r="B468" s="5"/>
      <c r="C468" s="5"/>
      <c r="D468" s="4"/>
      <c r="E468" s="4"/>
      <c r="F468" s="4"/>
      <c r="G468" s="5"/>
      <c r="H468" s="4"/>
      <c r="I468" s="4"/>
      <c r="J468" s="4"/>
      <c r="K468" s="4"/>
      <c r="L468" s="4"/>
      <c r="M468" s="4"/>
      <c r="N468" s="4"/>
      <c r="O468" s="4"/>
      <c r="P468" s="4"/>
    </row>
    <row r="469" spans="1:16" ht="12.75">
      <c r="A469" s="4"/>
      <c r="B469" s="5"/>
      <c r="C469" s="5"/>
      <c r="D469" s="4"/>
      <c r="E469" s="4"/>
      <c r="F469" s="4"/>
      <c r="G469" s="5"/>
      <c r="H469" s="4"/>
      <c r="I469" s="4"/>
      <c r="J469" s="4"/>
      <c r="K469" s="4"/>
      <c r="L469" s="4"/>
      <c r="M469" s="4"/>
      <c r="N469" s="4"/>
      <c r="O469" s="4"/>
      <c r="P469" s="4"/>
    </row>
    <row r="470" spans="1:16" ht="12.75">
      <c r="A470" s="4"/>
      <c r="B470" s="5"/>
      <c r="C470" s="5"/>
      <c r="D470" s="4"/>
      <c r="E470" s="4"/>
      <c r="F470" s="4"/>
      <c r="G470" s="5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12.75">
      <c r="A471" s="4"/>
      <c r="B471" s="5"/>
      <c r="C471" s="5"/>
      <c r="D471" s="4"/>
      <c r="E471" s="4"/>
      <c r="F471" s="4"/>
      <c r="G471" s="5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12.75">
      <c r="A472" s="4"/>
      <c r="B472" s="5"/>
      <c r="C472" s="5"/>
      <c r="D472" s="4"/>
      <c r="E472" s="4"/>
      <c r="F472" s="4"/>
      <c r="G472" s="5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12.75">
      <c r="A473" s="4"/>
      <c r="B473" s="5"/>
      <c r="C473" s="5"/>
      <c r="D473" s="4"/>
      <c r="E473" s="4"/>
      <c r="F473" s="4"/>
      <c r="G473" s="5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2.75">
      <c r="A474" s="4"/>
      <c r="B474" s="5"/>
      <c r="C474" s="5"/>
      <c r="D474" s="4"/>
      <c r="E474" s="4"/>
      <c r="F474" s="4"/>
      <c r="G474" s="5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2.75">
      <c r="A475" s="4"/>
      <c r="B475" s="5"/>
      <c r="C475" s="5"/>
      <c r="D475" s="4"/>
      <c r="E475" s="4"/>
      <c r="F475" s="4"/>
      <c r="G475" s="5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2.75">
      <c r="A476" s="4"/>
      <c r="B476" s="5"/>
      <c r="C476" s="5"/>
      <c r="D476" s="4"/>
      <c r="E476" s="4"/>
      <c r="F476" s="4"/>
      <c r="G476" s="5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2.75">
      <c r="A477" s="4"/>
      <c r="B477" s="5"/>
      <c r="C477" s="5"/>
      <c r="D477" s="4"/>
      <c r="E477" s="4"/>
      <c r="F477" s="4"/>
      <c r="G477" s="5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2.75">
      <c r="A478" s="4"/>
      <c r="B478" s="5"/>
      <c r="C478" s="5"/>
      <c r="D478" s="4"/>
      <c r="E478" s="4"/>
      <c r="F478" s="4"/>
      <c r="G478" s="5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2.75">
      <c r="A479" s="4"/>
      <c r="B479" s="5"/>
      <c r="C479" s="5"/>
      <c r="D479" s="4"/>
      <c r="E479" s="4"/>
      <c r="F479" s="4"/>
      <c r="G479" s="5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2.75">
      <c r="A480" s="4"/>
      <c r="B480" s="5"/>
      <c r="C480" s="5"/>
      <c r="D480" s="4"/>
      <c r="E480" s="4"/>
      <c r="F480" s="4"/>
      <c r="G480" s="5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2.75">
      <c r="A481" s="4"/>
      <c r="B481" s="5"/>
      <c r="C481" s="5"/>
      <c r="D481" s="4"/>
      <c r="E481" s="4"/>
      <c r="F481" s="4"/>
      <c r="G481" s="5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2.75">
      <c r="A482" s="4"/>
      <c r="B482" s="5"/>
      <c r="C482" s="5"/>
      <c r="D482" s="4"/>
      <c r="E482" s="4"/>
      <c r="F482" s="4"/>
      <c r="G482" s="5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2.75">
      <c r="A483" s="4"/>
      <c r="B483" s="5"/>
      <c r="C483" s="5"/>
      <c r="D483" s="4"/>
      <c r="E483" s="4"/>
      <c r="F483" s="4"/>
      <c r="G483" s="5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2.75">
      <c r="A484" s="4"/>
      <c r="B484" s="5"/>
      <c r="C484" s="5"/>
      <c r="D484" s="4"/>
      <c r="E484" s="4"/>
      <c r="F484" s="4"/>
      <c r="G484" s="5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2.75">
      <c r="A485" s="4"/>
      <c r="B485" s="5"/>
      <c r="C485" s="5"/>
      <c r="D485" s="4"/>
      <c r="E485" s="4"/>
      <c r="F485" s="4"/>
      <c r="G485" s="5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2.75">
      <c r="A486" s="4"/>
      <c r="B486" s="5"/>
      <c r="C486" s="5"/>
      <c r="D486" s="4"/>
      <c r="E486" s="4"/>
      <c r="F486" s="4"/>
      <c r="G486" s="5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2.75">
      <c r="A487" s="4"/>
      <c r="B487" s="5"/>
      <c r="C487" s="5"/>
      <c r="D487" s="4"/>
      <c r="E487" s="4"/>
      <c r="F487" s="4"/>
      <c r="G487" s="5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2.75">
      <c r="A488" s="4"/>
      <c r="B488" s="5"/>
      <c r="C488" s="5"/>
      <c r="D488" s="4"/>
      <c r="E488" s="4"/>
      <c r="F488" s="4"/>
      <c r="G488" s="5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2.75">
      <c r="A489" s="4"/>
      <c r="B489" s="5"/>
      <c r="C489" s="5"/>
      <c r="D489" s="4"/>
      <c r="E489" s="4"/>
      <c r="F489" s="4"/>
      <c r="G489" s="5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2.75">
      <c r="A490" s="4"/>
      <c r="B490" s="5"/>
      <c r="C490" s="5"/>
      <c r="D490" s="4"/>
      <c r="E490" s="4"/>
      <c r="F490" s="4"/>
      <c r="G490" s="5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2.75">
      <c r="A491" s="4"/>
      <c r="B491" s="5"/>
      <c r="C491" s="5"/>
      <c r="D491" s="4"/>
      <c r="E491" s="4"/>
      <c r="F491" s="4"/>
      <c r="G491" s="5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12.75">
      <c r="A492" s="4"/>
      <c r="B492" s="5"/>
      <c r="C492" s="5"/>
      <c r="D492" s="4"/>
      <c r="E492" s="4"/>
      <c r="F492" s="4"/>
      <c r="G492" s="5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2.75">
      <c r="A493" s="4"/>
      <c r="B493" s="5"/>
      <c r="C493" s="5"/>
      <c r="D493" s="4"/>
      <c r="E493" s="4"/>
      <c r="F493" s="4"/>
      <c r="G493" s="5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12.75">
      <c r="A494" s="4"/>
      <c r="B494" s="5"/>
      <c r="C494" s="5"/>
      <c r="D494" s="4"/>
      <c r="E494" s="4"/>
      <c r="F494" s="4"/>
      <c r="G494" s="5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12.75">
      <c r="A495" s="4"/>
      <c r="B495" s="5"/>
      <c r="C495" s="5"/>
      <c r="D495" s="4"/>
      <c r="E495" s="4"/>
      <c r="F495" s="4"/>
      <c r="G495" s="5"/>
      <c r="H495" s="4"/>
      <c r="I495" s="4"/>
      <c r="J495" s="4"/>
      <c r="K495" s="4"/>
      <c r="L495" s="4"/>
      <c r="M495" s="4"/>
      <c r="N495" s="4"/>
      <c r="O495" s="4"/>
      <c r="P495" s="4"/>
    </row>
    <row r="496" spans="1:16" ht="12.75">
      <c r="A496" s="4"/>
      <c r="B496" s="5"/>
      <c r="C496" s="5"/>
      <c r="D496" s="4"/>
      <c r="E496" s="4"/>
      <c r="F496" s="4"/>
      <c r="G496" s="5"/>
      <c r="H496" s="4"/>
      <c r="I496" s="4"/>
      <c r="J496" s="4"/>
      <c r="K496" s="4"/>
      <c r="L496" s="4"/>
      <c r="M496" s="4"/>
      <c r="N496" s="4"/>
      <c r="O496" s="4"/>
      <c r="P496" s="4"/>
    </row>
    <row r="497" spans="1:16" ht="12.75">
      <c r="A497" s="4"/>
      <c r="B497" s="5"/>
      <c r="C497" s="5"/>
      <c r="D497" s="4"/>
      <c r="E497" s="4"/>
      <c r="F497" s="4"/>
      <c r="G497" s="5"/>
      <c r="H497" s="4"/>
      <c r="I497" s="4"/>
      <c r="J497" s="4"/>
      <c r="K497" s="4"/>
      <c r="L497" s="4"/>
      <c r="M497" s="4"/>
      <c r="N497" s="4"/>
      <c r="O497" s="4"/>
      <c r="P497" s="4"/>
    </row>
    <row r="498" spans="1:16" ht="12.75">
      <c r="A498" s="4"/>
      <c r="B498" s="5"/>
      <c r="C498" s="5"/>
      <c r="D498" s="4"/>
      <c r="E498" s="4"/>
      <c r="F498" s="4"/>
      <c r="G498" s="5"/>
      <c r="H498" s="4"/>
      <c r="I498" s="4"/>
      <c r="J498" s="4"/>
      <c r="K498" s="4"/>
      <c r="L498" s="4"/>
      <c r="M498" s="4"/>
      <c r="N498" s="4"/>
      <c r="O498" s="4"/>
      <c r="P498" s="4"/>
    </row>
    <row r="499" spans="1:16" ht="12.75">
      <c r="A499" s="4"/>
      <c r="B499" s="5"/>
      <c r="C499" s="5"/>
      <c r="D499" s="4"/>
      <c r="E499" s="4"/>
      <c r="F499" s="4"/>
      <c r="G499" s="5"/>
      <c r="H499" s="4"/>
      <c r="I499" s="4"/>
      <c r="J499" s="4"/>
      <c r="K499" s="4"/>
      <c r="L499" s="4"/>
      <c r="M499" s="4"/>
      <c r="N499" s="4"/>
      <c r="O499" s="4"/>
      <c r="P499" s="4"/>
    </row>
    <row r="500" spans="1:16" ht="12.75">
      <c r="A500" s="4"/>
      <c r="B500" s="5"/>
      <c r="C500" s="5"/>
      <c r="D500" s="4"/>
      <c r="E500" s="4"/>
      <c r="F500" s="4"/>
      <c r="G500" s="5"/>
      <c r="H500" s="4"/>
      <c r="I500" s="4"/>
      <c r="J500" s="4"/>
      <c r="K500" s="4"/>
      <c r="L500" s="4"/>
      <c r="M500" s="4"/>
      <c r="N500" s="4"/>
      <c r="O500" s="4"/>
      <c r="P500" s="4"/>
    </row>
    <row r="501" spans="1:16" ht="12.75">
      <c r="A501" s="4"/>
      <c r="B501" s="5"/>
      <c r="C501" s="5"/>
      <c r="D501" s="4"/>
      <c r="E501" s="4"/>
      <c r="F501" s="4"/>
      <c r="G501" s="5"/>
      <c r="H501" s="4"/>
      <c r="I501" s="4"/>
      <c r="J501" s="4"/>
      <c r="K501" s="4"/>
      <c r="L501" s="4"/>
      <c r="M501" s="4"/>
      <c r="N501" s="4"/>
      <c r="O501" s="4"/>
      <c r="P501" s="4"/>
    </row>
    <row r="502" spans="1:16" ht="12.75">
      <c r="A502" s="4"/>
      <c r="B502" s="5"/>
      <c r="C502" s="5"/>
      <c r="D502" s="4"/>
      <c r="E502" s="4"/>
      <c r="F502" s="4"/>
      <c r="G502" s="5"/>
      <c r="H502" s="4"/>
      <c r="I502" s="4"/>
      <c r="J502" s="4"/>
      <c r="K502" s="4"/>
      <c r="L502" s="4"/>
      <c r="M502" s="4"/>
      <c r="N502" s="4"/>
      <c r="O502" s="4"/>
      <c r="P502" s="4"/>
    </row>
    <row r="503" spans="1:16" ht="12.75">
      <c r="A503" s="4"/>
      <c r="B503" s="5"/>
      <c r="C503" s="5"/>
      <c r="D503" s="4"/>
      <c r="E503" s="4"/>
      <c r="F503" s="4"/>
      <c r="G503" s="5"/>
      <c r="H503" s="4"/>
      <c r="I503" s="4"/>
      <c r="J503" s="4"/>
      <c r="K503" s="4"/>
      <c r="L503" s="4"/>
      <c r="M503" s="4"/>
      <c r="N503" s="4"/>
      <c r="O503" s="4"/>
      <c r="P503" s="4"/>
    </row>
    <row r="504" spans="1:16" ht="12.75">
      <c r="A504" s="4"/>
      <c r="B504" s="5"/>
      <c r="C504" s="5"/>
      <c r="D504" s="4"/>
      <c r="E504" s="4"/>
      <c r="F504" s="4"/>
      <c r="G504" s="5"/>
      <c r="H504" s="4"/>
      <c r="I504" s="4"/>
      <c r="J504" s="4"/>
      <c r="K504" s="4"/>
      <c r="L504" s="4"/>
      <c r="M504" s="4"/>
      <c r="N504" s="4"/>
      <c r="O504" s="4"/>
      <c r="P504" s="4"/>
    </row>
    <row r="505" spans="1:16" ht="12.75">
      <c r="A505" s="4"/>
      <c r="B505" s="5"/>
      <c r="C505" s="5"/>
      <c r="D505" s="4"/>
      <c r="E505" s="4"/>
      <c r="F505" s="4"/>
      <c r="G505" s="5"/>
      <c r="H505" s="4"/>
      <c r="I505" s="4"/>
      <c r="J505" s="4"/>
      <c r="K505" s="4"/>
      <c r="L505" s="4"/>
      <c r="M505" s="4"/>
      <c r="N505" s="4"/>
      <c r="O505" s="4"/>
      <c r="P505" s="4"/>
    </row>
    <row r="506" spans="1:16" ht="12.75">
      <c r="A506" s="4"/>
      <c r="B506" s="5"/>
      <c r="C506" s="5"/>
      <c r="D506" s="4"/>
      <c r="E506" s="4"/>
      <c r="F506" s="4"/>
      <c r="G506" s="5"/>
      <c r="H506" s="4"/>
      <c r="I506" s="4"/>
      <c r="J506" s="4"/>
      <c r="K506" s="4"/>
      <c r="L506" s="4"/>
      <c r="M506" s="4"/>
      <c r="N506" s="4"/>
      <c r="O506" s="4"/>
      <c r="P506" s="4"/>
    </row>
    <row r="507" spans="1:16" ht="12.75">
      <c r="A507" s="4"/>
      <c r="B507" s="5"/>
      <c r="C507" s="5"/>
      <c r="D507" s="4"/>
      <c r="E507" s="4"/>
      <c r="F507" s="4"/>
      <c r="G507" s="5"/>
      <c r="H507" s="4"/>
      <c r="I507" s="4"/>
      <c r="J507" s="4"/>
      <c r="K507" s="4"/>
      <c r="L507" s="4"/>
      <c r="M507" s="4"/>
      <c r="N507" s="4"/>
      <c r="O507" s="4"/>
      <c r="P507" s="4"/>
    </row>
    <row r="508" spans="1:16" ht="12.75">
      <c r="A508" s="4"/>
      <c r="B508" s="5"/>
      <c r="C508" s="5"/>
      <c r="D508" s="4"/>
      <c r="E508" s="4"/>
      <c r="F508" s="4"/>
      <c r="G508" s="5"/>
      <c r="H508" s="4"/>
      <c r="I508" s="4"/>
      <c r="J508" s="4"/>
      <c r="K508" s="4"/>
      <c r="L508" s="4"/>
      <c r="M508" s="4"/>
      <c r="N508" s="4"/>
      <c r="O508" s="4"/>
      <c r="P508" s="4"/>
    </row>
    <row r="509" spans="1:16" ht="12.75">
      <c r="A509" s="4"/>
      <c r="B509" s="5"/>
      <c r="C509" s="5"/>
      <c r="D509" s="4"/>
      <c r="E509" s="4"/>
      <c r="F509" s="4"/>
      <c r="G509" s="5"/>
      <c r="H509" s="4"/>
      <c r="I509" s="4"/>
      <c r="J509" s="4"/>
      <c r="K509" s="4"/>
      <c r="L509" s="4"/>
      <c r="M509" s="4"/>
      <c r="N509" s="4"/>
      <c r="O509" s="4"/>
      <c r="P509" s="4"/>
    </row>
    <row r="510" spans="1:16" ht="12.75">
      <c r="A510" s="4"/>
      <c r="B510" s="5"/>
      <c r="C510" s="5"/>
      <c r="D510" s="4"/>
      <c r="E510" s="4"/>
      <c r="F510" s="4"/>
      <c r="G510" s="5"/>
      <c r="H510" s="4"/>
      <c r="I510" s="4"/>
      <c r="J510" s="4"/>
      <c r="K510" s="4"/>
      <c r="L510" s="4"/>
      <c r="M510" s="4"/>
      <c r="N510" s="4"/>
      <c r="O510" s="4"/>
      <c r="P510" s="4"/>
    </row>
    <row r="511" spans="1:16" ht="12.75">
      <c r="A511" s="4"/>
      <c r="B511" s="5"/>
      <c r="C511" s="5"/>
      <c r="D511" s="4"/>
      <c r="E511" s="4"/>
      <c r="F511" s="4"/>
      <c r="G511" s="5"/>
      <c r="H511" s="4"/>
      <c r="I511" s="4"/>
      <c r="J511" s="4"/>
      <c r="K511" s="4"/>
      <c r="L511" s="4"/>
      <c r="M511" s="4"/>
      <c r="N511" s="4"/>
      <c r="O511" s="4"/>
      <c r="P511" s="4"/>
    </row>
    <row r="512" spans="1:16" ht="12.75">
      <c r="A512" s="4"/>
      <c r="B512" s="5"/>
      <c r="C512" s="5"/>
      <c r="D512" s="4"/>
      <c r="E512" s="4"/>
      <c r="F512" s="4"/>
      <c r="G512" s="5"/>
      <c r="H512" s="4"/>
      <c r="I512" s="4"/>
      <c r="J512" s="4"/>
      <c r="K512" s="4"/>
      <c r="L512" s="4"/>
      <c r="M512" s="4"/>
      <c r="N512" s="4"/>
      <c r="O512" s="4"/>
      <c r="P512" s="4"/>
    </row>
    <row r="513" spans="1:16" ht="12.75">
      <c r="A513" s="4"/>
      <c r="B513" s="5"/>
      <c r="C513" s="5"/>
      <c r="D513" s="4"/>
      <c r="E513" s="4"/>
      <c r="F513" s="4"/>
      <c r="G513" s="5"/>
      <c r="H513" s="4"/>
      <c r="I513" s="4"/>
      <c r="J513" s="4"/>
      <c r="K513" s="4"/>
      <c r="L513" s="4"/>
      <c r="M513" s="4"/>
      <c r="N513" s="4"/>
      <c r="O513" s="4"/>
      <c r="P513" s="4"/>
    </row>
    <row r="514" spans="1:16" ht="12.75">
      <c r="A514" s="4"/>
      <c r="B514" s="5"/>
      <c r="C514" s="5"/>
      <c r="D514" s="4"/>
      <c r="E514" s="4"/>
      <c r="F514" s="4"/>
      <c r="G514" s="5"/>
      <c r="H514" s="4"/>
      <c r="I514" s="4"/>
      <c r="J514" s="4"/>
      <c r="K514" s="4"/>
      <c r="L514" s="4"/>
      <c r="M514" s="4"/>
      <c r="N514" s="4"/>
      <c r="O514" s="4"/>
      <c r="P514" s="4"/>
    </row>
    <row r="515" spans="1:16" ht="12.75">
      <c r="A515" s="4"/>
      <c r="B515" s="5"/>
      <c r="C515" s="5"/>
      <c r="D515" s="4"/>
      <c r="E515" s="4"/>
      <c r="F515" s="4"/>
      <c r="G515" s="5"/>
      <c r="H515" s="4"/>
      <c r="I515" s="4"/>
      <c r="J515" s="4"/>
      <c r="K515" s="4"/>
      <c r="L515" s="4"/>
      <c r="M515" s="4"/>
      <c r="N515" s="4"/>
      <c r="O515" s="4"/>
      <c r="P515" s="4"/>
    </row>
    <row r="516" spans="1:16" ht="12.75">
      <c r="A516" s="4"/>
      <c r="B516" s="5"/>
      <c r="C516" s="5"/>
      <c r="D516" s="4"/>
      <c r="E516" s="4"/>
      <c r="F516" s="4"/>
      <c r="G516" s="5"/>
      <c r="H516" s="4"/>
      <c r="I516" s="4"/>
      <c r="J516" s="4"/>
      <c r="K516" s="4"/>
      <c r="L516" s="4"/>
      <c r="M516" s="4"/>
      <c r="N516" s="4"/>
      <c r="O516" s="4"/>
      <c r="P516" s="4"/>
    </row>
    <row r="517" spans="1:16" ht="12.75">
      <c r="A517" s="4"/>
      <c r="B517" s="5"/>
      <c r="C517" s="5"/>
      <c r="D517" s="4"/>
      <c r="E517" s="4"/>
      <c r="F517" s="4"/>
      <c r="G517" s="5"/>
      <c r="H517" s="4"/>
      <c r="I517" s="4"/>
      <c r="J517" s="4"/>
      <c r="K517" s="4"/>
      <c r="L517" s="4"/>
      <c r="M517" s="4"/>
      <c r="N517" s="4"/>
      <c r="O517" s="4"/>
      <c r="P517" s="4"/>
    </row>
    <row r="518" spans="1:16" ht="12.75">
      <c r="A518" s="4"/>
      <c r="B518" s="5"/>
      <c r="C518" s="5"/>
      <c r="D518" s="4"/>
      <c r="E518" s="4"/>
      <c r="F518" s="4"/>
      <c r="G518" s="5"/>
      <c r="H518" s="4"/>
      <c r="I518" s="4"/>
      <c r="J518" s="4"/>
      <c r="K518" s="4"/>
      <c r="L518" s="4"/>
      <c r="M518" s="4"/>
      <c r="N518" s="4"/>
      <c r="O518" s="4"/>
      <c r="P518" s="4"/>
    </row>
    <row r="519" spans="1:16" ht="12.75">
      <c r="A519" s="4"/>
      <c r="B519" s="5"/>
      <c r="C519" s="5"/>
      <c r="D519" s="4"/>
      <c r="E519" s="4"/>
      <c r="F519" s="4"/>
      <c r="G519" s="5"/>
      <c r="H519" s="4"/>
      <c r="I519" s="4"/>
      <c r="J519" s="4"/>
      <c r="K519" s="4"/>
      <c r="L519" s="4"/>
      <c r="M519" s="4"/>
      <c r="N519" s="4"/>
      <c r="O519" s="4"/>
      <c r="P519" s="4"/>
    </row>
    <row r="520" spans="1:16" ht="12.75">
      <c r="A520" s="4"/>
      <c r="B520" s="5"/>
      <c r="C520" s="5"/>
      <c r="D520" s="4"/>
      <c r="E520" s="4"/>
      <c r="F520" s="4"/>
      <c r="G520" s="5"/>
      <c r="H520" s="4"/>
      <c r="I520" s="4"/>
      <c r="J520" s="4"/>
      <c r="K520" s="4"/>
      <c r="L520" s="4"/>
      <c r="M520" s="4"/>
      <c r="N520" s="4"/>
      <c r="O520" s="4"/>
      <c r="P520" s="4"/>
    </row>
    <row r="521" spans="1:16" ht="12.75">
      <c r="A521" s="4"/>
      <c r="B521" s="5"/>
      <c r="C521" s="5"/>
      <c r="D521" s="4"/>
      <c r="E521" s="4"/>
      <c r="F521" s="4"/>
      <c r="G521" s="5"/>
      <c r="H521" s="4"/>
      <c r="I521" s="4"/>
      <c r="J521" s="4"/>
      <c r="K521" s="4"/>
      <c r="L521" s="4"/>
      <c r="M521" s="4"/>
      <c r="N521" s="4"/>
      <c r="O521" s="4"/>
      <c r="P521" s="4"/>
    </row>
    <row r="522" spans="1:16" ht="12.75">
      <c r="A522" s="4"/>
      <c r="B522" s="5"/>
      <c r="C522" s="5"/>
      <c r="D522" s="4"/>
      <c r="E522" s="4"/>
      <c r="F522" s="4"/>
      <c r="G522" s="5"/>
      <c r="H522" s="4"/>
      <c r="I522" s="4"/>
      <c r="J522" s="4"/>
      <c r="K522" s="4"/>
      <c r="L522" s="4"/>
      <c r="M522" s="4"/>
      <c r="N522" s="4"/>
      <c r="O522" s="4"/>
      <c r="P522" s="4"/>
    </row>
    <row r="523" spans="1:16" ht="12.75">
      <c r="A523" s="4"/>
      <c r="B523" s="5"/>
      <c r="C523" s="5"/>
      <c r="D523" s="4"/>
      <c r="E523" s="4"/>
      <c r="F523" s="4"/>
      <c r="G523" s="5"/>
      <c r="H523" s="4"/>
      <c r="I523" s="4"/>
      <c r="J523" s="4"/>
      <c r="K523" s="4"/>
      <c r="L523" s="4"/>
      <c r="M523" s="4"/>
      <c r="N523" s="4"/>
      <c r="O523" s="4"/>
      <c r="P523" s="4"/>
    </row>
    <row r="524" spans="1:16" ht="12.75">
      <c r="A524" s="4"/>
      <c r="B524" s="5"/>
      <c r="C524" s="5"/>
      <c r="D524" s="4"/>
      <c r="E524" s="4"/>
      <c r="F524" s="4"/>
      <c r="G524" s="5"/>
      <c r="H524" s="4"/>
      <c r="I524" s="4"/>
      <c r="J524" s="4"/>
      <c r="K524" s="4"/>
      <c r="L524" s="4"/>
      <c r="M524" s="4"/>
      <c r="N524" s="4"/>
      <c r="O524" s="4"/>
      <c r="P524" s="4"/>
    </row>
    <row r="525" spans="1:16" ht="12.75">
      <c r="A525" s="4"/>
      <c r="B525" s="5"/>
      <c r="C525" s="5"/>
      <c r="D525" s="4"/>
      <c r="E525" s="4"/>
      <c r="F525" s="4"/>
      <c r="G525" s="5"/>
      <c r="H525" s="4"/>
      <c r="I525" s="4"/>
      <c r="J525" s="4"/>
      <c r="K525" s="4"/>
      <c r="L525" s="4"/>
      <c r="M525" s="4"/>
      <c r="N525" s="4"/>
      <c r="O525" s="4"/>
      <c r="P525" s="4"/>
    </row>
    <row r="526" spans="1:16" ht="12.75">
      <c r="A526" s="4"/>
      <c r="B526" s="5"/>
      <c r="C526" s="5"/>
      <c r="D526" s="4"/>
      <c r="E526" s="4"/>
      <c r="F526" s="4"/>
      <c r="G526" s="5"/>
      <c r="H526" s="4"/>
      <c r="I526" s="4"/>
      <c r="J526" s="4"/>
      <c r="K526" s="4"/>
      <c r="L526" s="4"/>
      <c r="M526" s="4"/>
      <c r="N526" s="4"/>
      <c r="O526" s="4"/>
      <c r="P526" s="4"/>
    </row>
    <row r="527" spans="1:16" ht="12.75">
      <c r="A527" s="4"/>
      <c r="B527" s="5"/>
      <c r="C527" s="5"/>
      <c r="D527" s="4"/>
      <c r="E527" s="4"/>
      <c r="F527" s="4"/>
      <c r="G527" s="5"/>
      <c r="H527" s="4"/>
      <c r="I527" s="4"/>
      <c r="J527" s="4"/>
      <c r="K527" s="4"/>
      <c r="L527" s="4"/>
      <c r="M527" s="4"/>
      <c r="N527" s="4"/>
      <c r="O527" s="4"/>
      <c r="P527" s="4"/>
    </row>
    <row r="528" spans="1:16" ht="12.75">
      <c r="A528" s="4"/>
      <c r="B528" s="5"/>
      <c r="C528" s="5"/>
      <c r="D528" s="4"/>
      <c r="E528" s="4"/>
      <c r="F528" s="4"/>
      <c r="G528" s="5"/>
      <c r="H528" s="4"/>
      <c r="I528" s="4"/>
      <c r="J528" s="4"/>
      <c r="K528" s="4"/>
      <c r="L528" s="4"/>
      <c r="M528" s="4"/>
      <c r="N528" s="4"/>
      <c r="O528" s="4"/>
      <c r="P528" s="4"/>
    </row>
    <row r="529" spans="1:16" ht="12.75">
      <c r="A529" s="4"/>
      <c r="B529" s="5"/>
      <c r="C529" s="5"/>
      <c r="D529" s="4"/>
      <c r="E529" s="4"/>
      <c r="F529" s="4"/>
      <c r="G529" s="5"/>
      <c r="H529" s="4"/>
      <c r="I529" s="4"/>
      <c r="J529" s="4"/>
      <c r="K529" s="4"/>
      <c r="L529" s="4"/>
      <c r="M529" s="4"/>
      <c r="N529" s="4"/>
      <c r="O529" s="4"/>
      <c r="P529" s="4"/>
    </row>
    <row r="530" spans="1:16" ht="12.75">
      <c r="A530" s="4"/>
      <c r="B530" s="5"/>
      <c r="C530" s="5"/>
      <c r="D530" s="4"/>
      <c r="E530" s="4"/>
      <c r="F530" s="4"/>
      <c r="G530" s="5"/>
      <c r="H530" s="4"/>
      <c r="I530" s="4"/>
      <c r="J530" s="4"/>
      <c r="K530" s="4"/>
      <c r="L530" s="4"/>
      <c r="M530" s="4"/>
      <c r="N530" s="4"/>
      <c r="O530" s="4"/>
      <c r="P530" s="4"/>
    </row>
    <row r="531" spans="1:16" ht="12.75">
      <c r="A531" s="4"/>
      <c r="B531" s="5"/>
      <c r="C531" s="5"/>
      <c r="D531" s="4"/>
      <c r="E531" s="4"/>
      <c r="F531" s="4"/>
      <c r="G531" s="5"/>
      <c r="H531" s="4"/>
      <c r="I531" s="4"/>
      <c r="J531" s="4"/>
      <c r="K531" s="4"/>
      <c r="L531" s="4"/>
      <c r="M531" s="4"/>
      <c r="N531" s="4"/>
      <c r="O531" s="4"/>
      <c r="P531" s="4"/>
    </row>
    <row r="532" spans="1:16" ht="12.75">
      <c r="A532" s="4"/>
      <c r="B532" s="5"/>
      <c r="C532" s="5"/>
      <c r="D532" s="4"/>
      <c r="E532" s="4"/>
      <c r="F532" s="4"/>
      <c r="G532" s="5"/>
      <c r="H532" s="4"/>
      <c r="I532" s="4"/>
      <c r="J532" s="4"/>
      <c r="K532" s="4"/>
      <c r="L532" s="4"/>
      <c r="M532" s="4"/>
      <c r="N532" s="4"/>
      <c r="O532" s="4"/>
      <c r="P532" s="4"/>
    </row>
    <row r="533" spans="1:16" ht="12.75">
      <c r="A533" s="4"/>
      <c r="B533" s="5"/>
      <c r="C533" s="5"/>
      <c r="D533" s="4"/>
      <c r="E533" s="4"/>
      <c r="F533" s="4"/>
      <c r="G533" s="5"/>
      <c r="H533" s="4"/>
      <c r="I533" s="4"/>
      <c r="J533" s="4"/>
      <c r="K533" s="4"/>
      <c r="L533" s="4"/>
      <c r="M533" s="4"/>
      <c r="N533" s="4"/>
      <c r="O533" s="4"/>
      <c r="P533" s="4"/>
    </row>
    <row r="534" spans="1:16" ht="12.75">
      <c r="A534" s="4"/>
      <c r="B534" s="5"/>
      <c r="C534" s="5"/>
      <c r="D534" s="4"/>
      <c r="E534" s="4"/>
      <c r="F534" s="4"/>
      <c r="G534" s="5"/>
      <c r="H534" s="4"/>
      <c r="I534" s="4"/>
      <c r="J534" s="4"/>
      <c r="K534" s="4"/>
      <c r="L534" s="4"/>
      <c r="M534" s="4"/>
      <c r="N534" s="4"/>
      <c r="O534" s="4"/>
      <c r="P534" s="4"/>
    </row>
    <row r="535" spans="1:16" ht="12.75">
      <c r="A535" s="4"/>
      <c r="B535" s="5"/>
      <c r="C535" s="5"/>
      <c r="D535" s="4"/>
      <c r="E535" s="4"/>
      <c r="F535" s="4"/>
      <c r="G535" s="5"/>
      <c r="H535" s="4"/>
      <c r="I535" s="4"/>
      <c r="J535" s="4"/>
      <c r="K535" s="4"/>
      <c r="L535" s="4"/>
      <c r="M535" s="4"/>
      <c r="N535" s="4"/>
      <c r="O535" s="4"/>
      <c r="P535" s="4"/>
    </row>
    <row r="536" spans="1:16" ht="12.75">
      <c r="A536" s="4"/>
      <c r="B536" s="5"/>
      <c r="C536" s="5"/>
      <c r="D536" s="4"/>
      <c r="E536" s="4"/>
      <c r="F536" s="4"/>
      <c r="G536" s="5"/>
      <c r="H536" s="4"/>
      <c r="I536" s="4"/>
      <c r="J536" s="4"/>
      <c r="K536" s="4"/>
      <c r="L536" s="4"/>
      <c r="M536" s="4"/>
      <c r="N536" s="4"/>
      <c r="O536" s="4"/>
      <c r="P536" s="4"/>
    </row>
    <row r="537" spans="1:16" ht="12.75">
      <c r="A537" s="4"/>
      <c r="B537" s="5"/>
      <c r="C537" s="5"/>
      <c r="D537" s="4"/>
      <c r="E537" s="4"/>
      <c r="F537" s="4"/>
      <c r="G537" s="5"/>
      <c r="H537" s="4"/>
      <c r="I537" s="4"/>
      <c r="J537" s="4"/>
      <c r="K537" s="4"/>
      <c r="L537" s="4"/>
      <c r="M537" s="4"/>
      <c r="N537" s="4"/>
      <c r="O537" s="4"/>
      <c r="P537" s="4"/>
    </row>
    <row r="538" spans="1:16" ht="12.75">
      <c r="A538" s="4"/>
      <c r="B538" s="5"/>
      <c r="C538" s="5"/>
      <c r="D538" s="4"/>
      <c r="E538" s="4"/>
      <c r="F538" s="4"/>
      <c r="G538" s="5"/>
      <c r="H538" s="4"/>
      <c r="I538" s="4"/>
      <c r="J538" s="4"/>
      <c r="K538" s="4"/>
      <c r="L538" s="4"/>
      <c r="M538" s="4"/>
      <c r="N538" s="4"/>
      <c r="O538" s="4"/>
      <c r="P538" s="4"/>
    </row>
    <row r="539" spans="1:16" ht="12.75">
      <c r="A539" s="4"/>
      <c r="B539" s="5"/>
      <c r="C539" s="5"/>
      <c r="D539" s="4"/>
      <c r="E539" s="4"/>
      <c r="F539" s="4"/>
      <c r="G539" s="5"/>
      <c r="H539" s="4"/>
      <c r="I539" s="4"/>
      <c r="J539" s="4"/>
      <c r="K539" s="4"/>
      <c r="L539" s="4"/>
      <c r="M539" s="4"/>
      <c r="N539" s="4"/>
      <c r="O539" s="4"/>
      <c r="P539" s="4"/>
    </row>
    <row r="540" spans="1:16" ht="12.75">
      <c r="A540" s="4"/>
      <c r="B540" s="5"/>
      <c r="C540" s="5"/>
      <c r="D540" s="4"/>
      <c r="E540" s="4"/>
      <c r="F540" s="4"/>
      <c r="G540" s="5"/>
      <c r="H540" s="4"/>
      <c r="I540" s="4"/>
      <c r="J540" s="4"/>
      <c r="K540" s="4"/>
      <c r="L540" s="4"/>
      <c r="M540" s="4"/>
      <c r="N540" s="4"/>
      <c r="O540" s="4"/>
      <c r="P540" s="4"/>
    </row>
    <row r="541" spans="1:16" ht="12.75">
      <c r="A541" s="4"/>
      <c r="B541" s="5"/>
      <c r="C541" s="5"/>
      <c r="D541" s="4"/>
      <c r="E541" s="4"/>
      <c r="F541" s="4"/>
      <c r="G541" s="5"/>
      <c r="H541" s="4"/>
      <c r="I541" s="4"/>
      <c r="J541" s="4"/>
      <c r="K541" s="4"/>
      <c r="L541" s="4"/>
      <c r="M541" s="4"/>
      <c r="N541" s="4"/>
      <c r="O541" s="4"/>
      <c r="P541" s="4"/>
    </row>
    <row r="542" spans="1:16" ht="12.75">
      <c r="A542" s="4"/>
      <c r="B542" s="5"/>
      <c r="C542" s="5"/>
      <c r="D542" s="4"/>
      <c r="E542" s="4"/>
      <c r="F542" s="4"/>
      <c r="G542" s="5"/>
      <c r="H542" s="4"/>
      <c r="I542" s="4"/>
      <c r="J542" s="4"/>
      <c r="K542" s="4"/>
      <c r="L542" s="4"/>
      <c r="M542" s="4"/>
      <c r="N542" s="4"/>
      <c r="O542" s="4"/>
      <c r="P542" s="4"/>
    </row>
    <row r="543" spans="1:16" ht="12.75">
      <c r="A543" s="4"/>
      <c r="B543" s="5"/>
      <c r="C543" s="5"/>
      <c r="D543" s="4"/>
      <c r="E543" s="4"/>
      <c r="F543" s="4"/>
      <c r="G543" s="5"/>
      <c r="H543" s="4"/>
      <c r="I543" s="4"/>
      <c r="J543" s="4"/>
      <c r="K543" s="4"/>
      <c r="L543" s="4"/>
      <c r="M543" s="4"/>
      <c r="N543" s="4"/>
      <c r="O543" s="4"/>
      <c r="P543" s="4"/>
    </row>
    <row r="544" spans="1:16" ht="12.75">
      <c r="A544" s="4"/>
      <c r="B544" s="5"/>
      <c r="C544" s="5"/>
      <c r="D544" s="4"/>
      <c r="E544" s="4"/>
      <c r="F544" s="4"/>
      <c r="G544" s="5"/>
      <c r="H544" s="4"/>
      <c r="I544" s="4"/>
      <c r="J544" s="4"/>
      <c r="K544" s="4"/>
      <c r="L544" s="4"/>
      <c r="M544" s="4"/>
      <c r="N544" s="4"/>
      <c r="O544" s="4"/>
      <c r="P544" s="4"/>
    </row>
    <row r="545" spans="1:16" ht="12.75">
      <c r="A545" s="4"/>
      <c r="B545" s="5"/>
      <c r="C545" s="5"/>
      <c r="D545" s="4"/>
      <c r="E545" s="4"/>
      <c r="F545" s="4"/>
      <c r="G545" s="5"/>
      <c r="H545" s="4"/>
      <c r="I545" s="4"/>
      <c r="J545" s="4"/>
      <c r="K545" s="4"/>
      <c r="L545" s="4"/>
      <c r="M545" s="4"/>
      <c r="N545" s="4"/>
      <c r="O545" s="4"/>
      <c r="P545" s="4"/>
    </row>
    <row r="546" spans="1:16" ht="12.75">
      <c r="A546" s="4"/>
      <c r="B546" s="5"/>
      <c r="C546" s="5"/>
      <c r="D546" s="4"/>
      <c r="E546" s="4"/>
      <c r="F546" s="4"/>
      <c r="G546" s="5"/>
      <c r="H546" s="4"/>
      <c r="I546" s="4"/>
      <c r="J546" s="4"/>
      <c r="K546" s="4"/>
      <c r="L546" s="4"/>
      <c r="M546" s="4"/>
      <c r="N546" s="4"/>
      <c r="O546" s="4"/>
      <c r="P546" s="4"/>
    </row>
    <row r="547" spans="1:16" ht="12.75">
      <c r="A547" s="4"/>
      <c r="B547" s="5"/>
      <c r="C547" s="5"/>
      <c r="D547" s="4"/>
      <c r="E547" s="4"/>
      <c r="F547" s="4"/>
      <c r="G547" s="5"/>
      <c r="H547" s="4"/>
      <c r="I547" s="4"/>
      <c r="J547" s="4"/>
      <c r="K547" s="4"/>
      <c r="L547" s="4"/>
      <c r="M547" s="4"/>
      <c r="N547" s="4"/>
      <c r="O547" s="4"/>
      <c r="P547" s="4"/>
    </row>
    <row r="548" spans="1:16" ht="12.75">
      <c r="A548" s="4"/>
      <c r="B548" s="5"/>
      <c r="C548" s="5"/>
      <c r="D548" s="4"/>
      <c r="E548" s="4"/>
      <c r="F548" s="4"/>
      <c r="G548" s="5"/>
      <c r="H548" s="4"/>
      <c r="I548" s="4"/>
      <c r="J548" s="4"/>
      <c r="K548" s="4"/>
      <c r="L548" s="4"/>
      <c r="M548" s="4"/>
      <c r="N548" s="4"/>
      <c r="O548" s="4"/>
      <c r="P548" s="4"/>
    </row>
    <row r="549" spans="1:16" ht="12.75">
      <c r="A549" s="4"/>
      <c r="B549" s="5"/>
      <c r="C549" s="5"/>
      <c r="D549" s="4"/>
      <c r="E549" s="4"/>
      <c r="F549" s="4"/>
      <c r="G549" s="5"/>
      <c r="H549" s="4"/>
      <c r="I549" s="4"/>
      <c r="J549" s="4"/>
      <c r="K549" s="4"/>
      <c r="L549" s="4"/>
      <c r="M549" s="4"/>
      <c r="N549" s="4"/>
      <c r="O549" s="4"/>
      <c r="P549" s="4"/>
    </row>
    <row r="550" spans="1:16" ht="12.75">
      <c r="A550" s="4"/>
      <c r="B550" s="5"/>
      <c r="C550" s="5"/>
      <c r="D550" s="4"/>
      <c r="E550" s="4"/>
      <c r="F550" s="4"/>
      <c r="G550" s="5"/>
      <c r="H550" s="4"/>
      <c r="I550" s="4"/>
      <c r="J550" s="4"/>
      <c r="K550" s="4"/>
      <c r="L550" s="4"/>
      <c r="M550" s="4"/>
      <c r="N550" s="4"/>
      <c r="O550" s="4"/>
      <c r="P550" s="4"/>
    </row>
    <row r="551" spans="1:16" ht="12.75">
      <c r="A551" s="4"/>
      <c r="B551" s="5"/>
      <c r="C551" s="5"/>
      <c r="D551" s="4"/>
      <c r="E551" s="4"/>
      <c r="F551" s="4"/>
      <c r="G551" s="5"/>
      <c r="H551" s="4"/>
      <c r="I551" s="4"/>
      <c r="J551" s="4"/>
      <c r="K551" s="4"/>
      <c r="L551" s="4"/>
      <c r="M551" s="4"/>
      <c r="N551" s="4"/>
      <c r="O551" s="4"/>
      <c r="P551" s="4"/>
    </row>
    <row r="552" spans="1:16" ht="12.75">
      <c r="A552" s="4"/>
      <c r="B552" s="5"/>
      <c r="C552" s="5"/>
      <c r="D552" s="4"/>
      <c r="E552" s="4"/>
      <c r="F552" s="4"/>
      <c r="G552" s="5"/>
      <c r="H552" s="4"/>
      <c r="I552" s="4"/>
      <c r="J552" s="4"/>
      <c r="K552" s="4"/>
      <c r="L552" s="4"/>
      <c r="M552" s="4"/>
      <c r="N552" s="4"/>
      <c r="O552" s="4"/>
      <c r="P552" s="4"/>
    </row>
    <row r="553" spans="1:16" ht="12.75">
      <c r="A553" s="4"/>
      <c r="B553" s="5"/>
      <c r="C553" s="5"/>
      <c r="D553" s="4"/>
      <c r="E553" s="4"/>
      <c r="F553" s="4"/>
      <c r="G553" s="5"/>
      <c r="H553" s="4"/>
      <c r="I553" s="4"/>
      <c r="J553" s="4"/>
      <c r="K553" s="4"/>
      <c r="L553" s="4"/>
      <c r="M553" s="4"/>
      <c r="N553" s="4"/>
      <c r="O553" s="4"/>
      <c r="P553" s="4"/>
    </row>
    <row r="554" spans="1:16" ht="12.75">
      <c r="A554" s="4"/>
      <c r="B554" s="5"/>
      <c r="C554" s="5"/>
      <c r="D554" s="4"/>
      <c r="E554" s="4"/>
      <c r="F554" s="4"/>
      <c r="G554" s="5"/>
      <c r="H554" s="4"/>
      <c r="I554" s="4"/>
      <c r="J554" s="4"/>
      <c r="K554" s="4"/>
      <c r="L554" s="4"/>
      <c r="M554" s="4"/>
      <c r="N554" s="4"/>
      <c r="O554" s="4"/>
      <c r="P554" s="4"/>
    </row>
    <row r="555" spans="1:16" ht="12.75">
      <c r="A555" s="4"/>
      <c r="B555" s="5"/>
      <c r="C555" s="5"/>
      <c r="D555" s="4"/>
      <c r="E555" s="4"/>
      <c r="F555" s="4"/>
      <c r="G555" s="5"/>
      <c r="H555" s="4"/>
      <c r="I555" s="4"/>
      <c r="J555" s="4"/>
      <c r="K555" s="4"/>
      <c r="L555" s="4"/>
      <c r="M555" s="4"/>
      <c r="N555" s="4"/>
      <c r="O555" s="4"/>
      <c r="P555" s="4"/>
    </row>
    <row r="556" spans="1:16" ht="12.75">
      <c r="A556" s="4"/>
      <c r="B556" s="5"/>
      <c r="C556" s="5"/>
      <c r="D556" s="4"/>
      <c r="E556" s="4"/>
      <c r="F556" s="4"/>
      <c r="G556" s="5"/>
      <c r="H556" s="4"/>
      <c r="I556" s="4"/>
      <c r="J556" s="4"/>
      <c r="K556" s="4"/>
      <c r="L556" s="4"/>
      <c r="M556" s="4"/>
      <c r="N556" s="4"/>
      <c r="O556" s="4"/>
      <c r="P556" s="4"/>
    </row>
    <row r="557" spans="1:16" ht="12.75">
      <c r="A557" s="4"/>
      <c r="B557" s="5"/>
      <c r="C557" s="5"/>
      <c r="D557" s="4"/>
      <c r="E557" s="4"/>
      <c r="F557" s="4"/>
      <c r="G557" s="5"/>
      <c r="H557" s="4"/>
      <c r="I557" s="4"/>
      <c r="J557" s="4"/>
      <c r="K557" s="4"/>
      <c r="L557" s="4"/>
      <c r="M557" s="4"/>
      <c r="N557" s="4"/>
      <c r="O557" s="4"/>
      <c r="P557" s="4"/>
    </row>
    <row r="558" spans="1:16" ht="12.75">
      <c r="A558" s="4"/>
      <c r="B558" s="5"/>
      <c r="C558" s="5"/>
      <c r="D558" s="4"/>
      <c r="E558" s="4"/>
      <c r="F558" s="4"/>
      <c r="G558" s="5"/>
      <c r="H558" s="4"/>
      <c r="I558" s="4"/>
      <c r="J558" s="4"/>
      <c r="K558" s="4"/>
      <c r="L558" s="4"/>
      <c r="M558" s="4"/>
      <c r="N558" s="4"/>
      <c r="O558" s="4"/>
      <c r="P558" s="4"/>
    </row>
    <row r="559" spans="1:16" ht="12.75">
      <c r="A559" s="4"/>
      <c r="B559" s="5"/>
      <c r="C559" s="5"/>
      <c r="D559" s="4"/>
      <c r="E559" s="4"/>
      <c r="F559" s="4"/>
      <c r="G559" s="5"/>
      <c r="H559" s="4"/>
      <c r="I559" s="4"/>
      <c r="J559" s="4"/>
      <c r="K559" s="4"/>
      <c r="L559" s="4"/>
      <c r="M559" s="4"/>
      <c r="N559" s="4"/>
      <c r="O559" s="4"/>
      <c r="P559" s="4"/>
    </row>
    <row r="560" spans="1:16" ht="12.75">
      <c r="A560" s="4"/>
      <c r="B560" s="5"/>
      <c r="C560" s="5"/>
      <c r="D560" s="4"/>
      <c r="E560" s="4"/>
      <c r="F560" s="4"/>
      <c r="G560" s="5"/>
      <c r="H560" s="4"/>
      <c r="I560" s="4"/>
      <c r="J560" s="4"/>
      <c r="K560" s="4"/>
      <c r="L560" s="4"/>
      <c r="M560" s="4"/>
      <c r="N560" s="4"/>
      <c r="O560" s="4"/>
      <c r="P560" s="4"/>
    </row>
    <row r="561" spans="1:16" ht="12.75">
      <c r="A561" s="4"/>
      <c r="B561" s="5"/>
      <c r="C561" s="5"/>
      <c r="D561" s="4"/>
      <c r="E561" s="4"/>
      <c r="F561" s="4"/>
      <c r="G561" s="5"/>
      <c r="H561" s="4"/>
      <c r="I561" s="4"/>
      <c r="J561" s="4"/>
      <c r="K561" s="4"/>
      <c r="L561" s="4"/>
      <c r="M561" s="4"/>
      <c r="N561" s="4"/>
      <c r="O561" s="4"/>
      <c r="P561" s="4"/>
    </row>
    <row r="562" spans="1:16" ht="12.75">
      <c r="A562" s="4"/>
      <c r="B562" s="5"/>
      <c r="C562" s="5"/>
      <c r="D562" s="4"/>
      <c r="E562" s="4"/>
      <c r="F562" s="4"/>
      <c r="G562" s="5"/>
      <c r="H562" s="4"/>
      <c r="I562" s="4"/>
      <c r="J562" s="4"/>
      <c r="K562" s="4"/>
      <c r="L562" s="4"/>
      <c r="M562" s="4"/>
      <c r="N562" s="4"/>
      <c r="O562" s="4"/>
      <c r="P562" s="4"/>
    </row>
    <row r="563" spans="1:16" ht="12.75">
      <c r="A563" s="4"/>
      <c r="B563" s="5"/>
      <c r="C563" s="5"/>
      <c r="D563" s="4"/>
      <c r="E563" s="4"/>
      <c r="F563" s="4"/>
      <c r="G563" s="5"/>
      <c r="H563" s="4"/>
      <c r="I563" s="4"/>
      <c r="J563" s="4"/>
      <c r="K563" s="4"/>
      <c r="L563" s="4"/>
      <c r="M563" s="4"/>
      <c r="N563" s="4"/>
      <c r="O563" s="4"/>
      <c r="P563" s="4"/>
    </row>
    <row r="564" spans="1:16" ht="12.75">
      <c r="A564" s="4"/>
      <c r="B564" s="5"/>
      <c r="C564" s="5"/>
      <c r="D564" s="4"/>
      <c r="E564" s="4"/>
      <c r="F564" s="4"/>
      <c r="G564" s="5"/>
      <c r="H564" s="4"/>
      <c r="I564" s="4"/>
      <c r="J564" s="4"/>
      <c r="K564" s="4"/>
      <c r="L564" s="4"/>
      <c r="M564" s="4"/>
      <c r="N564" s="4"/>
      <c r="O564" s="4"/>
      <c r="P564" s="4"/>
    </row>
    <row r="565" spans="1:16" ht="12.75">
      <c r="A565" s="4"/>
      <c r="B565" s="5"/>
      <c r="C565" s="5"/>
      <c r="D565" s="4"/>
      <c r="E565" s="4"/>
      <c r="F565" s="4"/>
      <c r="G565" s="5"/>
      <c r="H565" s="4"/>
      <c r="I565" s="4"/>
      <c r="J565" s="4"/>
      <c r="K565" s="4"/>
      <c r="L565" s="4"/>
      <c r="M565" s="4"/>
      <c r="N565" s="4"/>
      <c r="O565" s="4"/>
      <c r="P565" s="4"/>
    </row>
    <row r="566" spans="1:16" ht="12.75">
      <c r="A566" s="4"/>
      <c r="B566" s="5"/>
      <c r="C566" s="5"/>
      <c r="D566" s="4"/>
      <c r="E566" s="4"/>
      <c r="F566" s="4"/>
      <c r="G566" s="5"/>
      <c r="H566" s="4"/>
      <c r="I566" s="4"/>
      <c r="J566" s="4"/>
      <c r="K566" s="4"/>
      <c r="L566" s="4"/>
      <c r="M566" s="4"/>
      <c r="N566" s="4"/>
      <c r="O566" s="4"/>
      <c r="P566" s="4"/>
    </row>
    <row r="567" spans="1:16" ht="12.75">
      <c r="A567" s="4"/>
      <c r="B567" s="5"/>
      <c r="C567" s="5"/>
      <c r="D567" s="4"/>
      <c r="E567" s="4"/>
      <c r="F567" s="4"/>
      <c r="G567" s="5"/>
      <c r="H567" s="4"/>
      <c r="I567" s="4"/>
      <c r="J567" s="4"/>
      <c r="K567" s="4"/>
      <c r="L567" s="4"/>
      <c r="M567" s="4"/>
      <c r="N567" s="4"/>
      <c r="O567" s="4"/>
      <c r="P567" s="4"/>
    </row>
    <row r="568" spans="1:16" ht="12.75">
      <c r="A568" s="4"/>
      <c r="B568" s="5"/>
      <c r="C568" s="5"/>
      <c r="D568" s="4"/>
      <c r="E568" s="4"/>
      <c r="F568" s="4"/>
      <c r="G568" s="5"/>
      <c r="H568" s="4"/>
      <c r="I568" s="4"/>
      <c r="J568" s="4"/>
      <c r="K568" s="4"/>
      <c r="L568" s="4"/>
      <c r="M568" s="4"/>
      <c r="N568" s="4"/>
      <c r="O568" s="4"/>
      <c r="P568" s="4"/>
    </row>
    <row r="569" spans="1:16" ht="12.75">
      <c r="A569" s="4"/>
      <c r="B569" s="5"/>
      <c r="C569" s="5"/>
      <c r="D569" s="4"/>
      <c r="E569" s="4"/>
      <c r="F569" s="4"/>
      <c r="G569" s="5"/>
      <c r="H569" s="4"/>
      <c r="I569" s="4"/>
      <c r="J569" s="4"/>
      <c r="K569" s="4"/>
      <c r="L569" s="4"/>
      <c r="M569" s="4"/>
      <c r="N569" s="4"/>
      <c r="O569" s="4"/>
      <c r="P569" s="4"/>
    </row>
    <row r="570" spans="1:16" ht="12.75">
      <c r="A570" s="4"/>
      <c r="B570" s="5"/>
      <c r="C570" s="5"/>
      <c r="D570" s="4"/>
      <c r="E570" s="4"/>
      <c r="F570" s="4"/>
      <c r="G570" s="5"/>
      <c r="H570" s="4"/>
      <c r="I570" s="4"/>
      <c r="J570" s="4"/>
      <c r="K570" s="4"/>
      <c r="L570" s="4"/>
      <c r="M570" s="4"/>
      <c r="N570" s="4"/>
      <c r="O570" s="4"/>
      <c r="P570" s="4"/>
    </row>
    <row r="571" spans="1:16" ht="12.75">
      <c r="A571" s="4"/>
      <c r="B571" s="5"/>
      <c r="C571" s="5"/>
      <c r="D571" s="4"/>
      <c r="E571" s="4"/>
      <c r="F571" s="4"/>
      <c r="G571" s="5"/>
      <c r="H571" s="4"/>
      <c r="I571" s="4"/>
      <c r="J571" s="4"/>
      <c r="K571" s="4"/>
      <c r="L571" s="4"/>
      <c r="M571" s="4"/>
      <c r="N571" s="4"/>
      <c r="O571" s="4"/>
      <c r="P571" s="4"/>
    </row>
    <row r="572" spans="1:16" ht="12.75">
      <c r="A572" s="4"/>
      <c r="B572" s="5"/>
      <c r="C572" s="5"/>
      <c r="D572" s="4"/>
      <c r="E572" s="4"/>
      <c r="F572" s="4"/>
      <c r="G572" s="5"/>
      <c r="H572" s="4"/>
      <c r="I572" s="4"/>
      <c r="J572" s="4"/>
      <c r="K572" s="4"/>
      <c r="L572" s="4"/>
      <c r="M572" s="4"/>
      <c r="N572" s="4"/>
      <c r="O572" s="4"/>
      <c r="P572" s="4"/>
    </row>
    <row r="573" spans="1:16" ht="12.75">
      <c r="A573" s="4"/>
      <c r="B573" s="5"/>
      <c r="C573" s="5"/>
      <c r="D573" s="4"/>
      <c r="E573" s="4"/>
      <c r="F573" s="4"/>
      <c r="G573" s="5"/>
      <c r="H573" s="4"/>
      <c r="I573" s="4"/>
      <c r="J573" s="4"/>
      <c r="K573" s="4"/>
      <c r="L573" s="4"/>
      <c r="M573" s="4"/>
      <c r="N573" s="4"/>
      <c r="O573" s="4"/>
      <c r="P573" s="4"/>
    </row>
    <row r="574" spans="1:16" ht="12.75">
      <c r="A574" s="4"/>
      <c r="B574" s="5"/>
      <c r="C574" s="5"/>
      <c r="D574" s="4"/>
      <c r="E574" s="4"/>
      <c r="F574" s="4"/>
      <c r="G574" s="5"/>
      <c r="H574" s="4"/>
      <c r="I574" s="4"/>
      <c r="J574" s="4"/>
      <c r="K574" s="4"/>
      <c r="L574" s="4"/>
      <c r="M574" s="4"/>
      <c r="N574" s="4"/>
      <c r="O574" s="4"/>
      <c r="P574" s="4"/>
    </row>
    <row r="575" spans="1:16" ht="12.75">
      <c r="A575" s="4"/>
      <c r="B575" s="5"/>
      <c r="C575" s="5"/>
      <c r="D575" s="4"/>
      <c r="E575" s="4"/>
      <c r="F575" s="4"/>
      <c r="G575" s="5"/>
      <c r="H575" s="4"/>
      <c r="I575" s="4"/>
      <c r="J575" s="4"/>
      <c r="K575" s="4"/>
      <c r="L575" s="4"/>
      <c r="M575" s="4"/>
      <c r="N575" s="4"/>
      <c r="O575" s="4"/>
      <c r="P575" s="4"/>
    </row>
    <row r="576" spans="1:16" ht="12.75">
      <c r="A576" s="4"/>
      <c r="B576" s="5"/>
      <c r="C576" s="5"/>
      <c r="D576" s="4"/>
      <c r="E576" s="4"/>
      <c r="F576" s="4"/>
      <c r="G576" s="5"/>
      <c r="H576" s="4"/>
      <c r="I576" s="4"/>
      <c r="J576" s="4"/>
      <c r="K576" s="4"/>
      <c r="L576" s="4"/>
      <c r="M576" s="4"/>
      <c r="N576" s="4"/>
      <c r="O576" s="4"/>
      <c r="P576" s="4"/>
    </row>
    <row r="577" spans="1:16" ht="12.75">
      <c r="A577" s="4"/>
      <c r="B577" s="5"/>
      <c r="C577" s="5"/>
      <c r="D577" s="4"/>
      <c r="E577" s="4"/>
      <c r="F577" s="4"/>
      <c r="G577" s="5"/>
      <c r="H577" s="4"/>
      <c r="I577" s="4"/>
      <c r="J577" s="4"/>
      <c r="K577" s="4"/>
      <c r="L577" s="4"/>
      <c r="M577" s="4"/>
      <c r="N577" s="4"/>
      <c r="O577" s="4"/>
      <c r="P577" s="4"/>
    </row>
    <row r="578" spans="1:16" ht="12.75">
      <c r="A578" s="4"/>
      <c r="B578" s="5"/>
      <c r="C578" s="5"/>
      <c r="D578" s="4"/>
      <c r="E578" s="4"/>
      <c r="F578" s="4"/>
      <c r="G578" s="5"/>
      <c r="H578" s="4"/>
      <c r="I578" s="4"/>
      <c r="J578" s="4"/>
      <c r="K578" s="4"/>
      <c r="L578" s="4"/>
      <c r="M578" s="4"/>
      <c r="N578" s="4"/>
      <c r="O578" s="4"/>
      <c r="P578" s="4"/>
    </row>
    <row r="579" spans="1:16" ht="12.75">
      <c r="A579" s="4"/>
      <c r="B579" s="5"/>
      <c r="C579" s="5"/>
      <c r="D579" s="4"/>
      <c r="E579" s="4"/>
      <c r="F579" s="4"/>
      <c r="G579" s="5"/>
      <c r="H579" s="4"/>
      <c r="I579" s="4"/>
      <c r="J579" s="4"/>
      <c r="K579" s="4"/>
      <c r="L579" s="4"/>
      <c r="M579" s="4"/>
      <c r="N579" s="4"/>
      <c r="O579" s="4"/>
      <c r="P579" s="4"/>
    </row>
    <row r="580" spans="1:16" ht="12.75">
      <c r="A580" s="4"/>
      <c r="B580" s="5"/>
      <c r="C580" s="5"/>
      <c r="D580" s="4"/>
      <c r="E580" s="4"/>
      <c r="F580" s="4"/>
      <c r="G580" s="5"/>
      <c r="H580" s="4"/>
      <c r="I580" s="4"/>
      <c r="J580" s="4"/>
      <c r="K580" s="4"/>
      <c r="L580" s="4"/>
      <c r="M580" s="4"/>
      <c r="N580" s="4"/>
      <c r="O580" s="4"/>
      <c r="P580" s="4"/>
    </row>
    <row r="581" spans="1:16" ht="12.75">
      <c r="A581" s="4"/>
      <c r="B581" s="5"/>
      <c r="C581" s="5"/>
      <c r="D581" s="4"/>
      <c r="E581" s="4"/>
      <c r="F581" s="4"/>
      <c r="G581" s="5"/>
      <c r="H581" s="4"/>
      <c r="I581" s="4"/>
      <c r="J581" s="4"/>
      <c r="K581" s="4"/>
      <c r="L581" s="4"/>
      <c r="M581" s="4"/>
      <c r="N581" s="4"/>
      <c r="O581" s="4"/>
      <c r="P581" s="4"/>
    </row>
    <row r="582" spans="1:16" ht="12.75">
      <c r="A582" s="4"/>
      <c r="B582" s="5"/>
      <c r="C582" s="5"/>
      <c r="D582" s="4"/>
      <c r="E582" s="4"/>
      <c r="F582" s="4"/>
      <c r="G582" s="5"/>
      <c r="H582" s="4"/>
      <c r="I582" s="4"/>
      <c r="J582" s="4"/>
      <c r="K582" s="4"/>
      <c r="L582" s="4"/>
      <c r="M582" s="4"/>
      <c r="N582" s="4"/>
      <c r="O582" s="4"/>
      <c r="P582" s="4"/>
    </row>
    <row r="583" spans="1:16" ht="12.75">
      <c r="A583" s="4"/>
      <c r="B583" s="5"/>
      <c r="C583" s="5"/>
      <c r="D583" s="4"/>
      <c r="E583" s="4"/>
      <c r="F583" s="4"/>
      <c r="G583" s="5"/>
      <c r="H583" s="4"/>
      <c r="I583" s="4"/>
      <c r="J583" s="4"/>
      <c r="K583" s="4"/>
      <c r="L583" s="4"/>
      <c r="M583" s="4"/>
      <c r="N583" s="4"/>
      <c r="O583" s="4"/>
      <c r="P583" s="4"/>
    </row>
    <row r="584" spans="1:16" ht="12.75">
      <c r="A584" s="4"/>
      <c r="B584" s="5"/>
      <c r="C584" s="5"/>
      <c r="D584" s="4"/>
      <c r="E584" s="4"/>
      <c r="F584" s="4"/>
      <c r="G584" s="5"/>
      <c r="H584" s="4"/>
      <c r="I584" s="4"/>
      <c r="J584" s="4"/>
      <c r="K584" s="4"/>
      <c r="L584" s="4"/>
      <c r="M584" s="4"/>
      <c r="N584" s="4"/>
      <c r="O584" s="4"/>
      <c r="P584" s="4"/>
    </row>
    <row r="585" spans="1:16" ht="12.75">
      <c r="A585" s="4"/>
      <c r="B585" s="5"/>
      <c r="C585" s="5"/>
      <c r="D585" s="4"/>
      <c r="E585" s="4"/>
      <c r="F585" s="4"/>
      <c r="G585" s="5"/>
      <c r="H585" s="4"/>
      <c r="I585" s="4"/>
      <c r="J585" s="4"/>
      <c r="K585" s="4"/>
      <c r="L585" s="4"/>
      <c r="M585" s="4"/>
      <c r="N585" s="4"/>
      <c r="O585" s="4"/>
      <c r="P585" s="4"/>
    </row>
    <row r="586" spans="1:16" ht="12.75">
      <c r="A586" s="4"/>
      <c r="B586" s="5"/>
      <c r="C586" s="5"/>
      <c r="D586" s="4"/>
      <c r="E586" s="4"/>
      <c r="F586" s="4"/>
      <c r="G586" s="5"/>
      <c r="H586" s="4"/>
      <c r="I586" s="4"/>
      <c r="J586" s="4"/>
      <c r="K586" s="4"/>
      <c r="L586" s="4"/>
      <c r="M586" s="4"/>
      <c r="N586" s="4"/>
      <c r="O586" s="4"/>
      <c r="P586" s="4"/>
    </row>
    <row r="587" spans="1:16" ht="12.75">
      <c r="A587" s="4"/>
      <c r="B587" s="5"/>
      <c r="C587" s="5"/>
      <c r="D587" s="4"/>
      <c r="E587" s="4"/>
      <c r="F587" s="4"/>
      <c r="G587" s="5"/>
      <c r="H587" s="4"/>
      <c r="I587" s="4"/>
      <c r="J587" s="4"/>
      <c r="K587" s="4"/>
      <c r="L587" s="4"/>
      <c r="M587" s="4"/>
      <c r="N587" s="4"/>
      <c r="O587" s="4"/>
      <c r="P587" s="4"/>
    </row>
    <row r="588" spans="1:16" ht="12.75">
      <c r="A588" s="4"/>
      <c r="B588" s="5"/>
      <c r="C588" s="5"/>
      <c r="D588" s="4"/>
      <c r="E588" s="4"/>
      <c r="F588" s="4"/>
      <c r="G588" s="5"/>
      <c r="H588" s="4"/>
      <c r="I588" s="4"/>
      <c r="J588" s="4"/>
      <c r="K588" s="4"/>
      <c r="L588" s="4"/>
      <c r="M588" s="4"/>
      <c r="N588" s="4"/>
      <c r="O588" s="4"/>
      <c r="P588" s="4"/>
    </row>
    <row r="589" spans="1:16" ht="12.75">
      <c r="A589" s="4"/>
      <c r="B589" s="5"/>
      <c r="C589" s="5"/>
      <c r="D589" s="4"/>
      <c r="E589" s="4"/>
      <c r="F589" s="4"/>
      <c r="G589" s="5"/>
      <c r="H589" s="4"/>
      <c r="I589" s="4"/>
      <c r="J589" s="4"/>
      <c r="K589" s="4"/>
      <c r="L589" s="4"/>
      <c r="M589" s="4"/>
      <c r="N589" s="4"/>
      <c r="O589" s="4"/>
      <c r="P589" s="4"/>
    </row>
    <row r="590" spans="1:16" ht="12.75">
      <c r="A590" s="4"/>
      <c r="B590" s="5"/>
      <c r="C590" s="5"/>
      <c r="D590" s="4"/>
      <c r="E590" s="4"/>
      <c r="F590" s="4"/>
      <c r="G590" s="5"/>
      <c r="H590" s="4"/>
      <c r="I590" s="4"/>
      <c r="J590" s="4"/>
      <c r="K590" s="4"/>
      <c r="L590" s="4"/>
      <c r="M590" s="4"/>
      <c r="N590" s="4"/>
      <c r="O590" s="4"/>
      <c r="P590" s="4"/>
    </row>
    <row r="591" spans="1:16" ht="12.75">
      <c r="A591" s="4"/>
      <c r="B591" s="5"/>
      <c r="C591" s="5"/>
      <c r="D591" s="4"/>
      <c r="E591" s="4"/>
      <c r="F591" s="4"/>
      <c r="G591" s="5"/>
      <c r="H591" s="4"/>
      <c r="I591" s="4"/>
      <c r="J591" s="4"/>
      <c r="K591" s="4"/>
      <c r="L591" s="4"/>
      <c r="M591" s="4"/>
      <c r="N591" s="4"/>
      <c r="O591" s="4"/>
      <c r="P591" s="4"/>
    </row>
    <row r="592" spans="1:16" ht="12.75">
      <c r="A592" s="4"/>
      <c r="B592" s="5"/>
      <c r="C592" s="5"/>
      <c r="D592" s="4"/>
      <c r="E592" s="4"/>
      <c r="F592" s="4"/>
      <c r="G592" s="5"/>
      <c r="H592" s="4"/>
      <c r="I592" s="4"/>
      <c r="J592" s="4"/>
      <c r="K592" s="4"/>
      <c r="L592" s="4"/>
      <c r="M592" s="4"/>
      <c r="N592" s="4"/>
      <c r="O592" s="4"/>
      <c r="P592" s="4"/>
    </row>
    <row r="593" spans="1:16" ht="12.75">
      <c r="A593" s="4"/>
      <c r="B593" s="5"/>
      <c r="C593" s="5"/>
      <c r="D593" s="4"/>
      <c r="E593" s="4"/>
      <c r="F593" s="4"/>
      <c r="G593" s="5"/>
      <c r="H593" s="4"/>
      <c r="I593" s="4"/>
      <c r="J593" s="4"/>
      <c r="K593" s="4"/>
      <c r="L593" s="4"/>
      <c r="M593" s="4"/>
      <c r="N593" s="4"/>
      <c r="O593" s="4"/>
      <c r="P593" s="4"/>
    </row>
    <row r="594" spans="1:16" ht="12.75">
      <c r="A594" s="4"/>
      <c r="B594" s="5"/>
      <c r="C594" s="5"/>
      <c r="D594" s="4"/>
      <c r="E594" s="4"/>
      <c r="F594" s="4"/>
      <c r="G594" s="5"/>
      <c r="H594" s="4"/>
      <c r="I594" s="4"/>
      <c r="J594" s="4"/>
      <c r="K594" s="4"/>
      <c r="L594" s="4"/>
      <c r="M594" s="4"/>
      <c r="N594" s="4"/>
      <c r="O594" s="4"/>
      <c r="P594" s="4"/>
    </row>
    <row r="595" spans="1:16" ht="12.75">
      <c r="A595" s="4"/>
      <c r="B595" s="5"/>
      <c r="C595" s="5"/>
      <c r="D595" s="4"/>
      <c r="E595" s="4"/>
      <c r="F595" s="4"/>
      <c r="G595" s="5"/>
      <c r="H595" s="4"/>
      <c r="I595" s="4"/>
      <c r="J595" s="4"/>
      <c r="K595" s="4"/>
      <c r="L595" s="4"/>
      <c r="M595" s="4"/>
      <c r="N595" s="4"/>
      <c r="O595" s="4"/>
      <c r="P595" s="4"/>
    </row>
    <row r="596" spans="1:16" ht="12.75">
      <c r="A596" s="4"/>
      <c r="B596" s="5"/>
      <c r="C596" s="5"/>
      <c r="D596" s="4"/>
      <c r="E596" s="4"/>
      <c r="F596" s="4"/>
      <c r="G596" s="5"/>
      <c r="H596" s="4"/>
      <c r="I596" s="4"/>
      <c r="J596" s="4"/>
      <c r="K596" s="4"/>
      <c r="L596" s="4"/>
      <c r="M596" s="4"/>
      <c r="N596" s="4"/>
      <c r="O596" s="4"/>
      <c r="P596" s="4"/>
    </row>
    <row r="597" spans="1:16" ht="12.75">
      <c r="A597" s="4"/>
      <c r="B597" s="5"/>
      <c r="C597" s="5"/>
      <c r="D597" s="4"/>
      <c r="E597" s="4"/>
      <c r="F597" s="4"/>
      <c r="G597" s="5"/>
      <c r="H597" s="4"/>
      <c r="I597" s="4"/>
      <c r="J597" s="4"/>
      <c r="K597" s="4"/>
      <c r="L597" s="4"/>
      <c r="M597" s="4"/>
      <c r="N597" s="4"/>
      <c r="O597" s="4"/>
      <c r="P597" s="4"/>
    </row>
    <row r="598" spans="1:16" ht="12.75">
      <c r="A598" s="4"/>
      <c r="B598" s="5"/>
      <c r="C598" s="5"/>
      <c r="D598" s="4"/>
      <c r="E598" s="4"/>
      <c r="F598" s="4"/>
      <c r="G598" s="5"/>
      <c r="H598" s="4"/>
      <c r="I598" s="4"/>
      <c r="J598" s="4"/>
      <c r="K598" s="4"/>
      <c r="L598" s="4"/>
      <c r="M598" s="4"/>
      <c r="N598" s="4"/>
      <c r="O598" s="4"/>
      <c r="P598" s="4"/>
    </row>
    <row r="599" spans="1:16" ht="12.75">
      <c r="A599" s="4"/>
      <c r="B599" s="5"/>
      <c r="C599" s="5"/>
      <c r="D599" s="4"/>
      <c r="E599" s="4"/>
      <c r="F599" s="4"/>
      <c r="G599" s="5"/>
      <c r="H599" s="4"/>
      <c r="I599" s="4"/>
      <c r="J599" s="4"/>
      <c r="K599" s="4"/>
      <c r="L599" s="4"/>
      <c r="M599" s="4"/>
      <c r="N599" s="4"/>
      <c r="O599" s="4"/>
      <c r="P599" s="4"/>
    </row>
    <row r="600" spans="1:16" ht="12.75">
      <c r="A600" s="4"/>
      <c r="B600" s="5"/>
      <c r="C600" s="5"/>
      <c r="D600" s="4"/>
      <c r="E600" s="4"/>
      <c r="F600" s="4"/>
      <c r="G600" s="5"/>
      <c r="H600" s="4"/>
      <c r="I600" s="4"/>
      <c r="J600" s="4"/>
      <c r="K600" s="4"/>
      <c r="L600" s="4"/>
      <c r="M600" s="4"/>
      <c r="N600" s="4"/>
      <c r="O600" s="4"/>
      <c r="P600" s="4"/>
    </row>
    <row r="601" spans="1:16" ht="12.75">
      <c r="A601" s="4"/>
      <c r="B601" s="5"/>
      <c r="C601" s="5"/>
      <c r="D601" s="4"/>
      <c r="E601" s="4"/>
      <c r="F601" s="4"/>
      <c r="G601" s="5"/>
      <c r="H601" s="4"/>
      <c r="I601" s="4"/>
      <c r="J601" s="4"/>
      <c r="K601" s="4"/>
      <c r="L601" s="4"/>
      <c r="M601" s="4"/>
      <c r="N601" s="4"/>
      <c r="O601" s="4"/>
      <c r="P601" s="4"/>
    </row>
    <row r="602" spans="1:16" ht="12.75">
      <c r="A602" s="4"/>
      <c r="B602" s="5"/>
      <c r="C602" s="5"/>
      <c r="D602" s="4"/>
      <c r="E602" s="4"/>
      <c r="F602" s="4"/>
      <c r="G602" s="5"/>
      <c r="H602" s="4"/>
      <c r="I602" s="4"/>
      <c r="J602" s="4"/>
      <c r="K602" s="4"/>
      <c r="L602" s="4"/>
      <c r="M602" s="4"/>
      <c r="N602" s="4"/>
      <c r="O602" s="4"/>
      <c r="P602" s="4"/>
    </row>
    <row r="603" spans="1:16" ht="12.75">
      <c r="A603" s="4"/>
      <c r="B603" s="5"/>
      <c r="C603" s="5"/>
      <c r="D603" s="4"/>
      <c r="E603" s="4"/>
      <c r="F603" s="4"/>
      <c r="G603" s="5"/>
      <c r="H603" s="4"/>
      <c r="I603" s="4"/>
      <c r="J603" s="4"/>
      <c r="K603" s="4"/>
      <c r="L603" s="4"/>
      <c r="M603" s="4"/>
      <c r="N603" s="4"/>
      <c r="O603" s="4"/>
      <c r="P603" s="4"/>
    </row>
    <row r="604" spans="1:16" ht="12.75">
      <c r="A604" s="4"/>
      <c r="B604" s="5"/>
      <c r="C604" s="5"/>
      <c r="D604" s="4"/>
      <c r="E604" s="4"/>
      <c r="F604" s="4"/>
      <c r="G604" s="5"/>
      <c r="H604" s="4"/>
      <c r="I604" s="4"/>
      <c r="J604" s="4"/>
      <c r="K604" s="4"/>
      <c r="L604" s="4"/>
      <c r="M604" s="4"/>
      <c r="N604" s="4"/>
      <c r="O604" s="4"/>
      <c r="P604" s="4"/>
    </row>
    <row r="605" spans="1:16" ht="12.75">
      <c r="A605" s="4"/>
      <c r="B605" s="5"/>
      <c r="C605" s="5"/>
      <c r="D605" s="4"/>
      <c r="E605" s="4"/>
      <c r="F605" s="4"/>
      <c r="G605" s="5"/>
      <c r="H605" s="4"/>
      <c r="I605" s="4"/>
      <c r="J605" s="4"/>
      <c r="K605" s="4"/>
      <c r="L605" s="4"/>
      <c r="M605" s="4"/>
      <c r="N605" s="4"/>
      <c r="O605" s="4"/>
      <c r="P605" s="4"/>
    </row>
    <row r="606" spans="1:16" ht="12.75">
      <c r="A606" s="4"/>
      <c r="B606" s="5"/>
      <c r="C606" s="5"/>
      <c r="D606" s="4"/>
      <c r="E606" s="4"/>
      <c r="F606" s="4"/>
      <c r="G606" s="5"/>
      <c r="H606" s="4"/>
      <c r="I606" s="4"/>
      <c r="J606" s="4"/>
      <c r="K606" s="4"/>
      <c r="L606" s="4"/>
      <c r="M606" s="4"/>
      <c r="N606" s="4"/>
      <c r="O606" s="4"/>
      <c r="P606" s="4"/>
    </row>
    <row r="607" spans="1:16" ht="12.75">
      <c r="A607" s="4"/>
      <c r="B607" s="5"/>
      <c r="C607" s="5"/>
      <c r="D607" s="4"/>
      <c r="E607" s="4"/>
      <c r="F607" s="4"/>
      <c r="G607" s="5"/>
      <c r="H607" s="4"/>
      <c r="I607" s="4"/>
      <c r="J607" s="4"/>
      <c r="K607" s="4"/>
      <c r="L607" s="4"/>
      <c r="M607" s="4"/>
      <c r="N607" s="4"/>
      <c r="O607" s="4"/>
      <c r="P607" s="4"/>
    </row>
    <row r="608" spans="1:16" ht="12.75">
      <c r="A608" s="4"/>
      <c r="B608" s="5"/>
      <c r="C608" s="5"/>
      <c r="D608" s="4"/>
      <c r="E608" s="4"/>
      <c r="F608" s="4"/>
      <c r="G608" s="5"/>
      <c r="H608" s="4"/>
      <c r="I608" s="4"/>
      <c r="J608" s="4"/>
      <c r="K608" s="4"/>
      <c r="L608" s="4"/>
      <c r="M608" s="4"/>
      <c r="N608" s="4"/>
      <c r="O608" s="4"/>
      <c r="P608" s="4"/>
    </row>
    <row r="609" spans="1:16" ht="12.75">
      <c r="A609" s="4"/>
      <c r="B609" s="5"/>
      <c r="C609" s="5"/>
      <c r="D609" s="4"/>
      <c r="E609" s="4"/>
      <c r="F609" s="4"/>
      <c r="G609" s="5"/>
      <c r="H609" s="4"/>
      <c r="I609" s="4"/>
      <c r="J609" s="4"/>
      <c r="K609" s="4"/>
      <c r="L609" s="4"/>
      <c r="M609" s="4"/>
      <c r="N609" s="4"/>
      <c r="O609" s="4"/>
      <c r="P609" s="4"/>
    </row>
    <row r="610" spans="1:16" ht="12.75">
      <c r="A610" s="4"/>
      <c r="B610" s="5"/>
      <c r="C610" s="5"/>
      <c r="D610" s="4"/>
      <c r="E610" s="4"/>
      <c r="F610" s="4"/>
      <c r="G610" s="5"/>
      <c r="H610" s="4"/>
      <c r="I610" s="4"/>
      <c r="J610" s="4"/>
      <c r="K610" s="4"/>
      <c r="L610" s="4"/>
      <c r="M610" s="4"/>
      <c r="N610" s="4"/>
      <c r="O610" s="4"/>
      <c r="P610" s="4"/>
    </row>
    <row r="611" spans="1:16" ht="12.75">
      <c r="A611" s="4"/>
      <c r="B611" s="5"/>
      <c r="C611" s="5"/>
      <c r="D611" s="4"/>
      <c r="E611" s="4"/>
      <c r="F611" s="4"/>
      <c r="G611" s="5"/>
      <c r="H611" s="4"/>
      <c r="I611" s="4"/>
      <c r="J611" s="4"/>
      <c r="K611" s="4"/>
      <c r="L611" s="4"/>
      <c r="M611" s="4"/>
      <c r="N611" s="4"/>
      <c r="O611" s="4"/>
      <c r="P611" s="4"/>
    </row>
    <row r="612" spans="1:16" ht="12.75">
      <c r="A612" s="4"/>
      <c r="B612" s="5"/>
      <c r="C612" s="5"/>
      <c r="D612" s="4"/>
      <c r="E612" s="4"/>
      <c r="F612" s="4"/>
      <c r="G612" s="5"/>
      <c r="H612" s="4"/>
      <c r="I612" s="4"/>
      <c r="J612" s="4"/>
      <c r="K612" s="4"/>
      <c r="L612" s="4"/>
      <c r="M612" s="4"/>
      <c r="N612" s="4"/>
      <c r="O612" s="4"/>
      <c r="P612" s="4"/>
    </row>
    <row r="613" spans="1:16" ht="12.75">
      <c r="A613" s="4"/>
      <c r="B613" s="5"/>
      <c r="C613" s="5"/>
      <c r="D613" s="4"/>
      <c r="E613" s="4"/>
      <c r="F613" s="4"/>
      <c r="G613" s="5"/>
      <c r="H613" s="4"/>
      <c r="I613" s="4"/>
      <c r="J613" s="4"/>
      <c r="K613" s="4"/>
      <c r="L613" s="4"/>
      <c r="M613" s="4"/>
      <c r="N613" s="4"/>
      <c r="O613" s="4"/>
      <c r="P613" s="4"/>
    </row>
    <row r="614" spans="1:16" ht="12.75">
      <c r="A614" s="4"/>
      <c r="B614" s="5"/>
      <c r="C614" s="5"/>
      <c r="D614" s="4"/>
      <c r="E614" s="4"/>
      <c r="F614" s="4"/>
      <c r="G614" s="5"/>
      <c r="H614" s="4"/>
      <c r="I614" s="4"/>
      <c r="J614" s="4"/>
      <c r="K614" s="4"/>
      <c r="L614" s="4"/>
      <c r="M614" s="4"/>
      <c r="N614" s="4"/>
      <c r="O614" s="4"/>
      <c r="P614" s="4"/>
    </row>
    <row r="615" spans="1:16" ht="12.75">
      <c r="A615" s="4"/>
      <c r="B615" s="5"/>
      <c r="C615" s="5"/>
      <c r="D615" s="4"/>
      <c r="E615" s="4"/>
      <c r="F615" s="4"/>
      <c r="G615" s="5"/>
      <c r="H615" s="4"/>
      <c r="I615" s="4"/>
      <c r="J615" s="4"/>
      <c r="K615" s="4"/>
      <c r="L615" s="4"/>
      <c r="M615" s="4"/>
      <c r="N615" s="4"/>
      <c r="O615" s="4"/>
      <c r="P615" s="4"/>
    </row>
    <row r="616" spans="1:16" ht="12.75">
      <c r="A616" s="4"/>
      <c r="B616" s="5"/>
      <c r="C616" s="5"/>
      <c r="D616" s="4"/>
      <c r="E616" s="4"/>
      <c r="F616" s="4"/>
      <c r="G616" s="5"/>
      <c r="H616" s="4"/>
      <c r="I616" s="4"/>
      <c r="J616" s="4"/>
      <c r="K616" s="4"/>
      <c r="L616" s="4"/>
      <c r="M616" s="4"/>
      <c r="N616" s="4"/>
      <c r="O616" s="4"/>
      <c r="P616" s="4"/>
    </row>
    <row r="617" spans="1:16" ht="12.75">
      <c r="A617" s="4"/>
      <c r="B617" s="5"/>
      <c r="C617" s="5"/>
      <c r="D617" s="4"/>
      <c r="E617" s="4"/>
      <c r="F617" s="4"/>
      <c r="G617" s="5"/>
      <c r="H617" s="4"/>
      <c r="I617" s="4"/>
      <c r="J617" s="4"/>
      <c r="K617" s="4"/>
      <c r="L617" s="4"/>
      <c r="M617" s="4"/>
      <c r="N617" s="4"/>
      <c r="O617" s="4"/>
      <c r="P617" s="4"/>
    </row>
    <row r="618" spans="1:16" ht="12.75">
      <c r="A618" s="4"/>
      <c r="B618" s="5"/>
      <c r="C618" s="5"/>
      <c r="D618" s="4"/>
      <c r="E618" s="4"/>
      <c r="F618" s="4"/>
      <c r="G618" s="5"/>
      <c r="H618" s="4"/>
      <c r="I618" s="4"/>
      <c r="J618" s="4"/>
      <c r="K618" s="4"/>
      <c r="L618" s="4"/>
      <c r="M618" s="4"/>
      <c r="N618" s="4"/>
      <c r="O618" s="4"/>
      <c r="P618" s="4"/>
    </row>
    <row r="619" spans="1:16" ht="12.75">
      <c r="A619" s="4"/>
      <c r="B619" s="5"/>
      <c r="C619" s="5"/>
      <c r="D619" s="4"/>
      <c r="E619" s="4"/>
      <c r="F619" s="4"/>
      <c r="G619" s="5"/>
      <c r="H619" s="4"/>
      <c r="I619" s="4"/>
      <c r="J619" s="4"/>
      <c r="K619" s="4"/>
      <c r="L619" s="4"/>
      <c r="M619" s="4"/>
      <c r="N619" s="4"/>
      <c r="O619" s="4"/>
      <c r="P619" s="4"/>
    </row>
    <row r="620" spans="1:16" ht="12.75">
      <c r="A620" s="4"/>
      <c r="B620" s="5"/>
      <c r="C620" s="5"/>
      <c r="D620" s="4"/>
      <c r="E620" s="4"/>
      <c r="F620" s="4"/>
      <c r="G620" s="5"/>
      <c r="H620" s="4"/>
      <c r="I620" s="4"/>
      <c r="J620" s="4"/>
      <c r="K620" s="4"/>
      <c r="L620" s="4"/>
      <c r="M620" s="4"/>
      <c r="N620" s="4"/>
      <c r="O620" s="4"/>
      <c r="P620" s="4"/>
    </row>
    <row r="621" spans="1:16" ht="12.75">
      <c r="A621" s="4"/>
      <c r="B621" s="5"/>
      <c r="C621" s="5"/>
      <c r="D621" s="4"/>
      <c r="E621" s="4"/>
      <c r="F621" s="4"/>
      <c r="G621" s="5"/>
      <c r="H621" s="4"/>
      <c r="I621" s="4"/>
      <c r="J621" s="4"/>
      <c r="K621" s="4"/>
      <c r="L621" s="4"/>
      <c r="M621" s="4"/>
      <c r="N621" s="4"/>
      <c r="O621" s="4"/>
      <c r="P621" s="4"/>
    </row>
    <row r="622" spans="1:16" ht="12.75">
      <c r="A622" s="4"/>
      <c r="B622" s="5"/>
      <c r="C622" s="5"/>
      <c r="D622" s="4"/>
      <c r="E622" s="4"/>
      <c r="F622" s="4"/>
      <c r="G622" s="5"/>
      <c r="H622" s="4"/>
      <c r="I622" s="4"/>
      <c r="J622" s="4"/>
      <c r="K622" s="4"/>
      <c r="L622" s="4"/>
      <c r="M622" s="4"/>
      <c r="N622" s="4"/>
      <c r="O622" s="4"/>
      <c r="P622" s="4"/>
    </row>
    <row r="623" spans="1:16" ht="12.75">
      <c r="A623" s="4"/>
      <c r="B623" s="5"/>
      <c r="C623" s="5"/>
      <c r="D623" s="4"/>
      <c r="E623" s="4"/>
      <c r="F623" s="4"/>
      <c r="G623" s="5"/>
      <c r="H623" s="4"/>
      <c r="I623" s="4"/>
      <c r="J623" s="4"/>
      <c r="K623" s="4"/>
      <c r="L623" s="4"/>
      <c r="M623" s="4"/>
      <c r="N623" s="4"/>
      <c r="O623" s="4"/>
      <c r="P623" s="4"/>
    </row>
    <row r="624" spans="1:16" ht="12.75">
      <c r="A624" s="4"/>
      <c r="B624" s="5"/>
      <c r="C624" s="5"/>
      <c r="D624" s="4"/>
      <c r="E624" s="4"/>
      <c r="F624" s="4"/>
      <c r="G624" s="5"/>
      <c r="H624" s="4"/>
      <c r="I624" s="4"/>
      <c r="J624" s="4"/>
      <c r="K624" s="4"/>
      <c r="L624" s="4"/>
      <c r="M624" s="4"/>
      <c r="N624" s="4"/>
      <c r="O624" s="4"/>
      <c r="P624" s="4"/>
    </row>
    <row r="625" spans="1:16" ht="12.75">
      <c r="A625" s="4"/>
      <c r="B625" s="5"/>
      <c r="C625" s="5"/>
      <c r="D625" s="4"/>
      <c r="E625" s="4"/>
      <c r="F625" s="4"/>
      <c r="G625" s="5"/>
      <c r="H625" s="4"/>
      <c r="I625" s="4"/>
      <c r="J625" s="4"/>
      <c r="K625" s="4"/>
      <c r="L625" s="4"/>
      <c r="M625" s="4"/>
      <c r="N625" s="4"/>
      <c r="O625" s="4"/>
      <c r="P625" s="4"/>
    </row>
    <row r="626" spans="1:16" ht="12.75">
      <c r="A626" s="4"/>
      <c r="B626" s="5"/>
      <c r="C626" s="5"/>
      <c r="D626" s="4"/>
      <c r="E626" s="4"/>
      <c r="F626" s="4"/>
      <c r="G626" s="5"/>
      <c r="H626" s="4"/>
      <c r="I626" s="4"/>
      <c r="J626" s="4"/>
      <c r="K626" s="4"/>
      <c r="L626" s="4"/>
      <c r="M626" s="4"/>
      <c r="N626" s="4"/>
      <c r="O626" s="4"/>
      <c r="P626" s="4"/>
    </row>
    <row r="627" spans="1:16" ht="12.75">
      <c r="A627" s="4"/>
      <c r="B627" s="5"/>
      <c r="C627" s="5"/>
      <c r="D627" s="4"/>
      <c r="E627" s="4"/>
      <c r="F627" s="4"/>
      <c r="G627" s="5"/>
      <c r="H627" s="4"/>
      <c r="I627" s="4"/>
      <c r="J627" s="4"/>
      <c r="K627" s="4"/>
      <c r="L627" s="4"/>
      <c r="M627" s="4"/>
      <c r="N627" s="4"/>
      <c r="O627" s="4"/>
      <c r="P627" s="4"/>
    </row>
    <row r="628" spans="1:16" ht="12.75">
      <c r="A628" s="4"/>
      <c r="B628" s="5"/>
      <c r="C628" s="5"/>
      <c r="D628" s="4"/>
      <c r="E628" s="4"/>
      <c r="F628" s="4"/>
      <c r="G628" s="5"/>
      <c r="H628" s="4"/>
      <c r="I628" s="4"/>
      <c r="J628" s="4"/>
      <c r="K628" s="4"/>
      <c r="L628" s="4"/>
      <c r="M628" s="4"/>
      <c r="N628" s="4"/>
      <c r="O628" s="4"/>
      <c r="P628" s="4"/>
    </row>
    <row r="629" spans="1:16" ht="12.75">
      <c r="A629" s="4"/>
      <c r="B629" s="5"/>
      <c r="C629" s="5"/>
      <c r="D629" s="4"/>
      <c r="E629" s="4"/>
      <c r="F629" s="4"/>
      <c r="G629" s="5"/>
      <c r="H629" s="4"/>
      <c r="I629" s="4"/>
      <c r="J629" s="4"/>
      <c r="K629" s="4"/>
      <c r="L629" s="4"/>
      <c r="M629" s="4"/>
      <c r="N629" s="4"/>
      <c r="O629" s="4"/>
      <c r="P629" s="4"/>
    </row>
    <row r="630" spans="1:16" ht="12.75">
      <c r="A630" s="4"/>
      <c r="B630" s="5"/>
      <c r="C630" s="5"/>
      <c r="D630" s="4"/>
      <c r="E630" s="4"/>
      <c r="F630" s="4"/>
      <c r="G630" s="5"/>
      <c r="H630" s="4"/>
      <c r="I630" s="4"/>
      <c r="J630" s="4"/>
      <c r="K630" s="4"/>
      <c r="L630" s="4"/>
      <c r="M630" s="4"/>
      <c r="N630" s="4"/>
      <c r="O630" s="4"/>
      <c r="P630" s="4"/>
    </row>
    <row r="631" spans="1:16" ht="12.75">
      <c r="A631" s="4"/>
      <c r="B631" s="5"/>
      <c r="C631" s="5"/>
      <c r="D631" s="4"/>
      <c r="E631" s="4"/>
      <c r="F631" s="4"/>
      <c r="G631" s="5"/>
      <c r="H631" s="4"/>
      <c r="I631" s="4"/>
      <c r="J631" s="4"/>
      <c r="K631" s="4"/>
      <c r="L631" s="4"/>
      <c r="M631" s="4"/>
      <c r="N631" s="4"/>
      <c r="O631" s="4"/>
      <c r="P631" s="4"/>
    </row>
    <row r="632" spans="1:16" ht="12.75">
      <c r="A632" s="4"/>
      <c r="B632" s="5"/>
      <c r="C632" s="5"/>
      <c r="D632" s="4"/>
      <c r="E632" s="4"/>
      <c r="F632" s="4"/>
      <c r="G632" s="5"/>
      <c r="H632" s="4"/>
      <c r="I632" s="4"/>
      <c r="J632" s="4"/>
      <c r="K632" s="4"/>
      <c r="L632" s="4"/>
      <c r="M632" s="4"/>
      <c r="N632" s="4"/>
      <c r="O632" s="4"/>
      <c r="P632" s="4"/>
    </row>
    <row r="633" spans="1:16" ht="12.75">
      <c r="A633" s="4"/>
      <c r="B633" s="5"/>
      <c r="C633" s="5"/>
      <c r="D633" s="4"/>
      <c r="E633" s="4"/>
      <c r="F633" s="4"/>
      <c r="G633" s="5"/>
      <c r="H633" s="4"/>
      <c r="I633" s="4"/>
      <c r="J633" s="4"/>
      <c r="K633" s="4"/>
      <c r="L633" s="4"/>
      <c r="M633" s="4"/>
      <c r="N633" s="4"/>
      <c r="O633" s="4"/>
      <c r="P633" s="4"/>
    </row>
    <row r="634" spans="1:16" ht="12.75">
      <c r="A634" s="4"/>
      <c r="B634" s="5"/>
      <c r="C634" s="5"/>
      <c r="D634" s="4"/>
      <c r="E634" s="4"/>
      <c r="F634" s="4"/>
      <c r="G634" s="5"/>
      <c r="H634" s="4"/>
      <c r="I634" s="4"/>
      <c r="J634" s="4"/>
      <c r="K634" s="4"/>
      <c r="L634" s="4"/>
      <c r="M634" s="4"/>
      <c r="N634" s="4"/>
      <c r="O634" s="4"/>
      <c r="P634" s="4"/>
    </row>
    <row r="635" spans="1:16" ht="12.75">
      <c r="A635" s="4"/>
      <c r="B635" s="5"/>
      <c r="C635" s="5"/>
      <c r="D635" s="4"/>
      <c r="E635" s="4"/>
      <c r="F635" s="4"/>
      <c r="G635" s="5"/>
      <c r="H635" s="4"/>
      <c r="I635" s="4"/>
      <c r="J635" s="4"/>
      <c r="K635" s="4"/>
      <c r="L635" s="4"/>
      <c r="M635" s="4"/>
      <c r="N635" s="4"/>
      <c r="O635" s="4"/>
      <c r="P635" s="4"/>
    </row>
    <row r="636" spans="1:16" ht="12.75">
      <c r="A636" s="4"/>
      <c r="B636" s="5"/>
      <c r="C636" s="5"/>
      <c r="D636" s="4"/>
      <c r="E636" s="4"/>
      <c r="F636" s="4"/>
      <c r="G636" s="5"/>
      <c r="H636" s="4"/>
      <c r="I636" s="4"/>
      <c r="J636" s="4"/>
      <c r="K636" s="4"/>
      <c r="L636" s="4"/>
      <c r="M636" s="4"/>
      <c r="N636" s="4"/>
      <c r="O636" s="4"/>
      <c r="P636" s="4"/>
    </row>
    <row r="637" spans="1:16" ht="12.75">
      <c r="A637" s="4"/>
      <c r="B637" s="5"/>
      <c r="C637" s="5"/>
      <c r="D637" s="4"/>
      <c r="E637" s="4"/>
      <c r="F637" s="4"/>
      <c r="G637" s="5"/>
      <c r="H637" s="4"/>
      <c r="I637" s="4"/>
      <c r="J637" s="4"/>
      <c r="K637" s="4"/>
      <c r="L637" s="4"/>
      <c r="M637" s="4"/>
      <c r="N637" s="4"/>
      <c r="O637" s="4"/>
      <c r="P637" s="4"/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81" r:id="rId2"/>
  <ignoredErrors>
    <ignoredError sqref="B7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04"/>
  <sheetViews>
    <sheetView workbookViewId="0" topLeftCell="A1">
      <selection activeCell="B5" sqref="B5"/>
    </sheetView>
  </sheetViews>
  <sheetFormatPr defaultColWidth="9.140625" defaultRowHeight="12.75"/>
  <cols>
    <col min="1" max="1" width="31.421875" style="0" customWidth="1"/>
    <col min="2" max="2" width="16.28125" style="0" bestFit="1" customWidth="1"/>
    <col min="3" max="3" width="11.8515625" style="0" customWidth="1"/>
    <col min="4" max="5" width="12.57421875" style="0" bestFit="1" customWidth="1"/>
    <col min="6" max="6" width="27.57421875" style="0" bestFit="1" customWidth="1"/>
    <col min="7" max="7" width="12.00390625" style="0" customWidth="1"/>
    <col min="68" max="68" width="39.00390625" style="0" bestFit="1" customWidth="1"/>
    <col min="70" max="70" width="39.57421875" style="0" bestFit="1" customWidth="1"/>
    <col min="71" max="71" width="10.57421875" style="0" customWidth="1"/>
    <col min="73" max="73" width="12.00390625" style="0" bestFit="1" customWidth="1"/>
    <col min="74" max="74" width="17.421875" style="0" bestFit="1" customWidth="1"/>
  </cols>
  <sheetData>
    <row r="1" spans="1:74" ht="18.75">
      <c r="A1" s="3" t="s">
        <v>121</v>
      </c>
      <c r="B1" s="5"/>
      <c r="C1" s="5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2.75">
      <c r="A2" s="4"/>
      <c r="B2" s="5"/>
      <c r="C2" s="5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2.75">
      <c r="A3" s="4"/>
      <c r="B3" s="5"/>
      <c r="C3" s="43" t="s">
        <v>137</v>
      </c>
      <c r="D3" s="43"/>
      <c r="E3" s="4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2.75">
      <c r="A4" s="6" t="s">
        <v>0</v>
      </c>
      <c r="B4" s="4"/>
      <c r="C4" s="39" t="s">
        <v>138</v>
      </c>
      <c r="D4" s="40" t="s">
        <v>139</v>
      </c>
      <c r="F4" s="6" t="s">
        <v>7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</row>
    <row r="5" spans="1:74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$B$6/$B$5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16</v>
      </c>
      <c r="G8" s="9">
        <f>-MIN($BV$104:$BV$204)</f>
        <v>2.552725051033064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10*LOG10(1-10^(-0.1*$G$8))</f>
        <v>-3.52182518111362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2.75">
      <c r="A10" s="4" t="s">
        <v>131</v>
      </c>
      <c r="B10" s="2">
        <v>0</v>
      </c>
      <c r="C10" s="41">
        <v>0</v>
      </c>
      <c r="D10" s="42">
        <f>B11</f>
        <v>20</v>
      </c>
      <c r="F10" s="7" t="s">
        <v>12</v>
      </c>
      <c r="G10" s="9">
        <f>10^(0.05*G9)</f>
        <v>0.666666666666667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2.75">
      <c r="A11" s="4" t="s">
        <v>132</v>
      </c>
      <c r="B11" s="2">
        <v>20</v>
      </c>
      <c r="C11" s="41">
        <f>B10</f>
        <v>0</v>
      </c>
      <c r="D11" s="42" t="s">
        <v>141</v>
      </c>
      <c r="F11" s="7" t="s">
        <v>8</v>
      </c>
      <c r="G11" s="9">
        <f>MAX($BU$104:$BU$204)</f>
        <v>5.000000000000005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2.75">
      <c r="A12" s="4"/>
      <c r="B12" s="5"/>
      <c r="C12" s="5"/>
      <c r="D12" s="4"/>
      <c r="E12" s="4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2.75">
      <c r="A13" s="4"/>
      <c r="B13" s="5"/>
      <c r="C13" s="5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2.75">
      <c r="A14" s="6" t="s">
        <v>61</v>
      </c>
      <c r="B14" s="5"/>
      <c r="C14" s="5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2.75">
      <c r="A15" s="8" t="s">
        <v>18</v>
      </c>
      <c r="B15" s="8" t="s">
        <v>19</v>
      </c>
      <c r="C15" s="12"/>
      <c r="D15" s="14"/>
      <c r="E15" s="14"/>
      <c r="F15" s="1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2.75">
      <c r="A16" s="4">
        <v>1</v>
      </c>
      <c r="B16" s="9">
        <f>IF($B$7&lt;1,"N/A",IF($B$7&gt;8,"ERROR",$B$5*$G$5^(1/($B$7+1))))</f>
        <v>119.58131745004019</v>
      </c>
      <c r="C16" s="12"/>
      <c r="D16" s="14"/>
      <c r="E16" s="14"/>
      <c r="F16" s="32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2.75">
      <c r="A17" s="4">
        <v>2</v>
      </c>
      <c r="B17" s="9">
        <f>IF($B$7&lt;2,"N/A",IF($B$7&gt;8,"ERROR",$B$5*$G$5^(2/($B$7+1))))</f>
        <v>142.9969148308729</v>
      </c>
      <c r="C17" s="12"/>
      <c r="D17" s="14"/>
      <c r="E17" s="14"/>
      <c r="F17" s="32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2.75">
      <c r="A18" s="4">
        <v>3</v>
      </c>
      <c r="B18" s="9">
        <f>IF($B$7&lt;3,"N/A",IF($B$7&gt;8,"ERROR",$B$5*$G$5^(3/($B$7+1))))</f>
        <v>170.9975946676697</v>
      </c>
      <c r="C18" s="5"/>
      <c r="D18" s="4"/>
      <c r="E18" s="4"/>
      <c r="F18" s="9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2.75">
      <c r="A19" s="4">
        <v>4</v>
      </c>
      <c r="B19" s="9">
        <f>IF($B$7&lt;4,"N/A",IF($B$7&gt;8,"ERROR",$B$5*$G$5^(4/($B$7+1))))</f>
        <v>204.48117651147913</v>
      </c>
      <c r="C19" s="5"/>
      <c r="D19" s="4"/>
      <c r="E19" s="4"/>
      <c r="F19" s="9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2.75">
      <c r="A20" s="4">
        <v>5</v>
      </c>
      <c r="B20" s="9">
        <f>IF($B$7&lt;5,"N/A",IF($B$7&gt;8,"ERROR",$B$5*$G$5^(5/($B$7+1))))</f>
        <v>244.52128480976887</v>
      </c>
      <c r="C20" s="5"/>
      <c r="D20" s="4"/>
      <c r="E20" s="4"/>
      <c r="F20" s="9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2.75">
      <c r="A21" s="4">
        <v>6</v>
      </c>
      <c r="B21" s="9">
        <f>IF($B$7&lt;6,"N/A",IF($B$7&gt;8,"ERROR",$B$5*$G$5^(6/($B$7+1))))</f>
        <v>292.40177382128655</v>
      </c>
      <c r="C21" s="5"/>
      <c r="D21" s="4"/>
      <c r="E21" s="4"/>
      <c r="F21" s="9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2.75">
      <c r="A22" s="4">
        <v>7</v>
      </c>
      <c r="B22" s="9">
        <f>IF($B$7&lt;7,"N/A",IF($B$7&gt;8,"ERROR",$B$5*$G$5^(7/($B$7+1))))</f>
        <v>349.65789338278125</v>
      </c>
      <c r="C22" s="5"/>
      <c r="D22" s="4"/>
      <c r="E22" s="4"/>
      <c r="F22" s="9"/>
      <c r="G22" s="12"/>
      <c r="H22" s="1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2.75">
      <c r="A23" s="4">
        <v>8</v>
      </c>
      <c r="B23" s="9">
        <f>IF($B$7&lt;8,"N/A",IF($B$7&gt;8,"ERROR",$B$5*$G$5^(8/($B$7+1))))</f>
        <v>418.1255154751868</v>
      </c>
      <c r="C23" s="5"/>
      <c r="D23" s="4"/>
      <c r="E23" s="4"/>
      <c r="F23" s="9"/>
      <c r="G23" s="12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2.75">
      <c r="A24" s="4"/>
      <c r="B24" s="5"/>
      <c r="C24" s="5"/>
      <c r="D24" s="4"/>
      <c r="E24" s="4"/>
      <c r="F24" s="9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2.75">
      <c r="A25" s="4"/>
      <c r="B25" s="5"/>
      <c r="C25" s="5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2.75">
      <c r="A26" s="4"/>
      <c r="B26" s="5"/>
      <c r="C26" s="5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2.75">
      <c r="A27" s="4"/>
      <c r="B27" s="5"/>
      <c r="C27" s="5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2.75">
      <c r="A28" s="4"/>
      <c r="B28" s="5"/>
      <c r="C28" s="5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2.75">
      <c r="A29" s="4"/>
      <c r="B29" s="5"/>
      <c r="C29" s="5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2.75">
      <c r="A30" s="4"/>
      <c r="B30" s="5"/>
      <c r="C30" s="5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2.75">
      <c r="A31" s="4"/>
      <c r="B31" s="5"/>
      <c r="C31" s="5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2.75">
      <c r="A32" s="7"/>
      <c r="B32" s="5"/>
      <c r="C32" s="5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2.75">
      <c r="A33" s="4"/>
      <c r="B33" s="5"/>
      <c r="C33" s="5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2.75">
      <c r="A34" s="4"/>
      <c r="B34" s="5"/>
      <c r="C34" s="5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2.75">
      <c r="A35" s="4"/>
      <c r="B35" s="5"/>
      <c r="C35" s="5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2.75">
      <c r="A36" s="4"/>
      <c r="B36" s="5"/>
      <c r="C36" s="5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2.75">
      <c r="A37" s="4"/>
      <c r="B37" s="5"/>
      <c r="C37" s="5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2.75">
      <c r="A38" s="4"/>
      <c r="B38" s="5"/>
      <c r="C38" s="5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2.75">
      <c r="A39" s="4"/>
      <c r="B39" s="5"/>
      <c r="C39" s="5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2.75">
      <c r="A40" s="4"/>
      <c r="B40" s="5"/>
      <c r="C40" s="5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2.75">
      <c r="A41" s="4"/>
      <c r="B41" s="5"/>
      <c r="C41" s="5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2.75">
      <c r="A42" s="4"/>
      <c r="B42" s="5"/>
      <c r="C42" s="5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2.75">
      <c r="A43" s="4"/>
      <c r="B43" s="5"/>
      <c r="C43" s="5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2.75">
      <c r="A44" s="4"/>
      <c r="B44" s="5"/>
      <c r="C44" s="5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2.75">
      <c r="A45" s="4"/>
      <c r="B45" s="5"/>
      <c r="C45" s="5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2.75">
      <c r="A46" s="4"/>
      <c r="B46" s="5"/>
      <c r="C46" s="5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2.75">
      <c r="A47" s="4"/>
      <c r="B47" s="5"/>
      <c r="C47" s="5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2.75">
      <c r="A48" s="4"/>
      <c r="B48" s="5"/>
      <c r="C48" s="5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2.75">
      <c r="A49" s="4"/>
      <c r="B49" s="5"/>
      <c r="C49" s="5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2.75">
      <c r="A50" s="4"/>
      <c r="B50" s="5"/>
      <c r="C50" s="5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2.75">
      <c r="A51" s="4"/>
      <c r="B51" s="5"/>
      <c r="C51" s="5"/>
      <c r="D51" s="4"/>
      <c r="E51" s="4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2.75">
      <c r="A52" s="4"/>
      <c r="B52" s="5"/>
      <c r="C52" s="5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2.75">
      <c r="A53" s="4"/>
      <c r="B53" s="5"/>
      <c r="C53" s="5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</row>
    <row r="62" spans="1:7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</row>
    <row r="63" spans="1:7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1:7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1:7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</row>
    <row r="66" spans="1:7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1:7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</row>
    <row r="68" spans="1:7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</row>
    <row r="69" spans="1:7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</row>
    <row r="70" spans="1:7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</row>
    <row r="71" spans="1:7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</row>
    <row r="72" spans="1:7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</row>
    <row r="73" spans="1:7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</row>
    <row r="74" spans="1:7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</row>
    <row r="75" spans="1:7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</row>
    <row r="76" spans="1:7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</row>
    <row r="77" spans="1:7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</row>
    <row r="78" spans="1:7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</row>
    <row r="79" spans="1:7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</row>
    <row r="80" spans="1:7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</row>
    <row r="81" spans="1:7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</row>
    <row r="83" spans="1:7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</row>
    <row r="84" spans="1:7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</row>
    <row r="85" spans="1:7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</row>
    <row r="86" spans="1:7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</row>
    <row r="87" spans="1:7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</row>
    <row r="88" spans="1:7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</row>
    <row r="89" spans="1:7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</row>
    <row r="90" spans="1:7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</row>
    <row r="91" spans="1:7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</row>
    <row r="92" spans="1:7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</row>
    <row r="93" spans="1:7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</row>
    <row r="94" spans="1:7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</row>
    <row r="95" spans="1:7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</row>
    <row r="96" spans="1:7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</row>
    <row r="97" spans="1:7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</row>
    <row r="98" spans="1:7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</row>
    <row r="99" spans="1:7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</row>
    <row r="100" spans="1:74" ht="12.75">
      <c r="A100" s="4"/>
      <c r="B100" s="4"/>
      <c r="C100" s="4"/>
      <c r="D100" s="4"/>
      <c r="E100" s="5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 t="s">
        <v>128</v>
      </c>
      <c r="BQ100" s="4" t="str">
        <f>COMPLEX($B$5,0)</f>
        <v>100</v>
      </c>
      <c r="BR100" s="4"/>
      <c r="BS100" s="4"/>
      <c r="BT100" s="4"/>
      <c r="BU100" s="4"/>
      <c r="BV100" s="4"/>
    </row>
    <row r="101" spans="1:74" ht="12.75">
      <c r="A101" s="4"/>
      <c r="B101" s="4"/>
      <c r="C101" s="4"/>
      <c r="D101" s="4"/>
      <c r="E101" s="5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14"/>
      <c r="BM101" s="4"/>
      <c r="BN101" s="4"/>
      <c r="BO101" s="4"/>
      <c r="BP101" s="4"/>
      <c r="BQ101" s="4"/>
      <c r="BR101" s="4"/>
      <c r="BS101" s="4"/>
      <c r="BT101" s="4"/>
      <c r="BU101" s="4"/>
      <c r="BV101" s="4"/>
    </row>
    <row r="102" spans="1:74" ht="12.75">
      <c r="A102" s="4"/>
      <c r="B102" s="4"/>
      <c r="C102" s="4"/>
      <c r="D102" s="4"/>
      <c r="E102" s="5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</row>
    <row r="103" spans="1:74" ht="12.75">
      <c r="A103" s="8" t="s">
        <v>24</v>
      </c>
      <c r="B103" s="11" t="s">
        <v>38</v>
      </c>
      <c r="C103" s="15" t="s">
        <v>120</v>
      </c>
      <c r="D103" s="8" t="s">
        <v>118</v>
      </c>
      <c r="E103" s="11" t="s">
        <v>119</v>
      </c>
      <c r="F103" s="8" t="s">
        <v>44</v>
      </c>
      <c r="G103" s="8" t="s">
        <v>62</v>
      </c>
      <c r="H103" s="11" t="s">
        <v>63</v>
      </c>
      <c r="I103" s="11" t="s">
        <v>64</v>
      </c>
      <c r="J103" s="11" t="s">
        <v>49</v>
      </c>
      <c r="K103" s="11" t="s">
        <v>65</v>
      </c>
      <c r="L103" s="11" t="s">
        <v>66</v>
      </c>
      <c r="M103" s="11" t="s">
        <v>67</v>
      </c>
      <c r="N103" s="11" t="s">
        <v>50</v>
      </c>
      <c r="O103" s="11" t="s">
        <v>68</v>
      </c>
      <c r="P103" s="11" t="s">
        <v>69</v>
      </c>
      <c r="Q103" s="11" t="s">
        <v>70</v>
      </c>
      <c r="R103" s="11" t="s">
        <v>51</v>
      </c>
      <c r="S103" s="11" t="s">
        <v>71</v>
      </c>
      <c r="T103" s="11" t="s">
        <v>72</v>
      </c>
      <c r="U103" s="11" t="s">
        <v>73</v>
      </c>
      <c r="V103" s="11" t="s">
        <v>74</v>
      </c>
      <c r="W103" s="11" t="s">
        <v>75</v>
      </c>
      <c r="X103" s="11" t="s">
        <v>76</v>
      </c>
      <c r="Y103" s="11" t="s">
        <v>77</v>
      </c>
      <c r="Z103" s="11" t="s">
        <v>78</v>
      </c>
      <c r="AA103" s="11" t="s">
        <v>79</v>
      </c>
      <c r="AB103" s="11" t="s">
        <v>80</v>
      </c>
      <c r="AC103" s="11" t="s">
        <v>81</v>
      </c>
      <c r="AD103" s="11" t="s">
        <v>82</v>
      </c>
      <c r="AE103" s="11" t="s">
        <v>83</v>
      </c>
      <c r="AF103" s="11" t="s">
        <v>84</v>
      </c>
      <c r="AG103" s="11" t="s">
        <v>85</v>
      </c>
      <c r="AH103" s="11" t="s">
        <v>86</v>
      </c>
      <c r="AI103" s="11" t="s">
        <v>87</v>
      </c>
      <c r="AJ103" s="11" t="s">
        <v>88</v>
      </c>
      <c r="AK103" s="11" t="s">
        <v>89</v>
      </c>
      <c r="AL103" s="37" t="s">
        <v>90</v>
      </c>
      <c r="AM103" s="37" t="s">
        <v>91</v>
      </c>
      <c r="AN103" s="37" t="s">
        <v>92</v>
      </c>
      <c r="AO103" s="37" t="s">
        <v>93</v>
      </c>
      <c r="AP103" s="37" t="s">
        <v>94</v>
      </c>
      <c r="AQ103" s="37" t="s">
        <v>95</v>
      </c>
      <c r="AR103" s="37" t="s">
        <v>96</v>
      </c>
      <c r="AS103" s="37" t="s">
        <v>97</v>
      </c>
      <c r="AT103" s="37" t="s">
        <v>98</v>
      </c>
      <c r="AU103" s="37" t="s">
        <v>99</v>
      </c>
      <c r="AV103" s="37" t="s">
        <v>100</v>
      </c>
      <c r="AW103" s="37" t="s">
        <v>101</v>
      </c>
      <c r="AX103" s="37" t="s">
        <v>102</v>
      </c>
      <c r="AY103" s="37" t="s">
        <v>103</v>
      </c>
      <c r="AZ103" s="37" t="s">
        <v>104</v>
      </c>
      <c r="BA103" s="37" t="s">
        <v>105</v>
      </c>
      <c r="BB103" s="37" t="s">
        <v>106</v>
      </c>
      <c r="BC103" s="37" t="s">
        <v>107</v>
      </c>
      <c r="BD103" s="37" t="s">
        <v>108</v>
      </c>
      <c r="BE103" s="37" t="s">
        <v>109</v>
      </c>
      <c r="BF103" s="37" t="s">
        <v>110</v>
      </c>
      <c r="BG103" s="37" t="s">
        <v>111</v>
      </c>
      <c r="BH103" s="37" t="s">
        <v>112</v>
      </c>
      <c r="BI103" s="37" t="s">
        <v>113</v>
      </c>
      <c r="BJ103" s="37" t="s">
        <v>114</v>
      </c>
      <c r="BK103" s="37" t="s">
        <v>115</v>
      </c>
      <c r="BL103" s="37" t="s">
        <v>116</v>
      </c>
      <c r="BM103" s="37" t="s">
        <v>117</v>
      </c>
      <c r="BN103" s="37" t="s">
        <v>122</v>
      </c>
      <c r="BO103" s="37" t="s">
        <v>123</v>
      </c>
      <c r="BP103" s="37" t="s">
        <v>124</v>
      </c>
      <c r="BQ103" s="37" t="s">
        <v>125</v>
      </c>
      <c r="BR103" s="37" t="s">
        <v>126</v>
      </c>
      <c r="BS103" s="37" t="s">
        <v>127</v>
      </c>
      <c r="BT103" s="37" t="s">
        <v>129</v>
      </c>
      <c r="BU103" s="37" t="s">
        <v>27</v>
      </c>
      <c r="BV103" s="37" t="s">
        <v>25</v>
      </c>
    </row>
    <row r="104" spans="1:74" ht="12.75">
      <c r="A104" s="5">
        <v>1</v>
      </c>
      <c r="B104" s="5">
        <f>$B$10+0.01*($B$11-$B$10)*(A104-1)</f>
        <v>0</v>
      </c>
      <c r="C104" s="4">
        <f aca="true" t="shared" si="0" ref="C104:C135">$B104/$G$6*0.5*PI()</f>
        <v>0</v>
      </c>
      <c r="D104" s="4">
        <f>SIN($C104)</f>
        <v>0</v>
      </c>
      <c r="E104" s="5">
        <f>COS($C104)</f>
        <v>1</v>
      </c>
      <c r="F104" s="9" t="str">
        <f>IF($B$7&gt;0,COMPLEX($E104,0),1)</f>
        <v>1</v>
      </c>
      <c r="G104" s="9" t="str">
        <f>IF($B$7&gt;0,COMPLEX(0,$D104*$B$16),0)</f>
        <v>0</v>
      </c>
      <c r="H104" s="9" t="str">
        <f>IF($B$7&gt;0,COMPLEX(0,$D104/$B$16),0)</f>
        <v>0</v>
      </c>
      <c r="I104" s="9" t="str">
        <f>IF($B$7&gt;0,COMPLEX($E104,0),1)</f>
        <v>1</v>
      </c>
      <c r="J104" s="9" t="str">
        <f>IF($B$7&gt;1,COMPLEX($E104,0),1)</f>
        <v>1</v>
      </c>
      <c r="K104" s="9" t="str">
        <f>IF($B$7&gt;1,COMPLEX(0,$D104*$B$17),0)</f>
        <v>0</v>
      </c>
      <c r="L104" s="9" t="str">
        <f>IF($B$7&gt;1,COMPLEX(0,$D104/$B$17),0)</f>
        <v>0</v>
      </c>
      <c r="M104" s="9" t="str">
        <f>IF($B$7&gt;1,COMPLEX($E104,0),1)</f>
        <v>1</v>
      </c>
      <c r="N104" s="9" t="str">
        <f>IF($B$7&gt;2,COMPLEX($E104,0),1)</f>
        <v>1</v>
      </c>
      <c r="O104" s="9" t="str">
        <f>IF($B$7&gt;2,COMPLEX(0,$D104*$B$18),0)</f>
        <v>0</v>
      </c>
      <c r="P104" s="9" t="str">
        <f>IF($B$7&gt;2,COMPLEX(0,$D104/$B$18),0)</f>
        <v>0</v>
      </c>
      <c r="Q104" s="9" t="str">
        <f>IF($B$7&gt;2,COMPLEX($E104,0),1)</f>
        <v>1</v>
      </c>
      <c r="R104" s="9" t="str">
        <f>IF($B$7&gt;3,COMPLEX($E104,0),1)</f>
        <v>1</v>
      </c>
      <c r="S104" s="9" t="str">
        <f>IF($B$7&gt;3,COMPLEX(0,$D104*$B$19),0)</f>
        <v>0</v>
      </c>
      <c r="T104" s="9" t="str">
        <f>IF($B$7&gt;3,COMPLEX(0,$D104/$B$19),0)</f>
        <v>0</v>
      </c>
      <c r="U104" s="9" t="str">
        <f>IF($B$7&gt;3,COMPLEX($E104,0),1)</f>
        <v>1</v>
      </c>
      <c r="V104" s="9" t="str">
        <f>IF($B$7&gt;4,COMPLEX($E104,0),1)</f>
        <v>1</v>
      </c>
      <c r="W104" s="9" t="str">
        <f>IF($B$7&gt;4,COMPLEX(0,$D104*$B$20),0)</f>
        <v>0</v>
      </c>
      <c r="X104" s="9" t="str">
        <f>IF($B$7&gt;4,COMPLEX(0,$D104/$B$20),0)</f>
        <v>0</v>
      </c>
      <c r="Y104" s="9" t="str">
        <f>IF($B$7&gt;4,COMPLEX($E104,0),1)</f>
        <v>1</v>
      </c>
      <c r="Z104" s="9" t="str">
        <f>IF($B$7&gt;5,COMPLEX($E104,0),1)</f>
        <v>1</v>
      </c>
      <c r="AA104" s="9" t="str">
        <f>IF($B$7&gt;5,COMPLEX(0,$D104*$B$21),0)</f>
        <v>0</v>
      </c>
      <c r="AB104" s="9" t="str">
        <f>IF($B$7&gt;5,COMPLEX(0,$D104/$B$21),0)</f>
        <v>0</v>
      </c>
      <c r="AC104" s="9" t="str">
        <f>IF($B$7&gt;5,COMPLEX($E104,0),1)</f>
        <v>1</v>
      </c>
      <c r="AD104" s="9" t="str">
        <f>IF($B$7&gt;6,COMPLEX($E104,0),1)</f>
        <v>1</v>
      </c>
      <c r="AE104" s="9" t="str">
        <f>IF($B$7&gt;6,COMPLEX(0,$D104*$B$22),0)</f>
        <v>0</v>
      </c>
      <c r="AF104" s="9" t="str">
        <f>IF($B$7&gt;6,COMPLEX(0,$D104/$B$22),0)</f>
        <v>0</v>
      </c>
      <c r="AG104" s="9" t="str">
        <f>IF($B$7&gt;6,COMPLEX($E104,0),1)</f>
        <v>1</v>
      </c>
      <c r="AH104" s="9" t="str">
        <f>IF($B$7&gt;7,COMPLEX($E104,0),1)</f>
        <v>1</v>
      </c>
      <c r="AI104" s="9" t="str">
        <f>IF($B$7&gt;7,COMPLEX(0,$D104*$B$23),0)</f>
        <v>0</v>
      </c>
      <c r="AJ104" s="9" t="str">
        <f>IF($B$7&gt;7,COMPLEX(0,$D104/$B$23),0)</f>
        <v>0</v>
      </c>
      <c r="AK104" s="9" t="str">
        <f>IF($B$7&gt;7,COMPLEX($E104,0),1)</f>
        <v>1</v>
      </c>
      <c r="AL104" s="4" t="str">
        <f>IMSUM(IMPRODUCT(F104,J104),IMPRODUCT(G104,L104))</f>
        <v>1</v>
      </c>
      <c r="AM104" s="5" t="str">
        <f>IMSUM(IMPRODUCT(F104,K104),IMPRODUCT(G104,M104))</f>
        <v>0</v>
      </c>
      <c r="AN104" s="5" t="str">
        <f>IMSUM(IMPRODUCT(H104,J104),IMPRODUCT(I104,L104))</f>
        <v>0</v>
      </c>
      <c r="AO104" s="5" t="str">
        <f>IMSUM(IMPRODUCT(H104,K104),IMPRODUCT(I104,M104))</f>
        <v>1</v>
      </c>
      <c r="AP104" s="4" t="str">
        <f>IMSUM(IMPRODUCT(AL104,N104),IMPRODUCT(AM104,P104))</f>
        <v>1</v>
      </c>
      <c r="AQ104" s="5" t="str">
        <f>IMSUM(IMPRODUCT(AL104,O104),IMPRODUCT(AM104,Q104))</f>
        <v>0</v>
      </c>
      <c r="AR104" s="5" t="str">
        <f>IMSUM(IMPRODUCT(AN104,N104),IMPRODUCT(AO104,P104))</f>
        <v>0</v>
      </c>
      <c r="AS104" s="5" t="str">
        <f>IMSUM(IMPRODUCT(AN104,O104),IMPRODUCT(AO104,Q104))</f>
        <v>1</v>
      </c>
      <c r="AT104" s="4" t="str">
        <f>IMSUM(IMPRODUCT(AP104,R104),IMPRODUCT(AQ104,T104))</f>
        <v>1</v>
      </c>
      <c r="AU104" s="5" t="str">
        <f>IMSUM(IMPRODUCT(AP104,S104),IMPRODUCT(AQ104,U104))</f>
        <v>0</v>
      </c>
      <c r="AV104" s="5" t="str">
        <f>IMSUM(IMPRODUCT(AR104,R104),IMPRODUCT(AS104,T104))</f>
        <v>0</v>
      </c>
      <c r="AW104" s="5" t="str">
        <f>IMSUM(IMPRODUCT(AR104,S104),IMPRODUCT(AS104,U104))</f>
        <v>1</v>
      </c>
      <c r="AX104" s="4" t="str">
        <f>IMSUM(IMPRODUCT(AT104,V104),IMPRODUCT(AU104,X104))</f>
        <v>1</v>
      </c>
      <c r="AY104" s="5" t="str">
        <f>IMSUM(IMPRODUCT(AT104,W104),IMPRODUCT(AU104,Y104))</f>
        <v>0</v>
      </c>
      <c r="AZ104" s="5" t="str">
        <f>IMSUM(IMPRODUCT(AV104,V104),IMPRODUCT(AW104,X104))</f>
        <v>0</v>
      </c>
      <c r="BA104" s="5" t="str">
        <f>IMSUM(IMPRODUCT(AV104,W104),IMPRODUCT(AW104,Y104))</f>
        <v>1</v>
      </c>
      <c r="BB104" s="4" t="str">
        <f>IMSUM(IMPRODUCT(AX104,Z104),IMPRODUCT(AY104,AB104))</f>
        <v>1</v>
      </c>
      <c r="BC104" s="5" t="str">
        <f>IMSUM(IMPRODUCT(AX104,AA104),IMPRODUCT(AY104,AC104))</f>
        <v>0</v>
      </c>
      <c r="BD104" s="5" t="str">
        <f>IMSUM(IMPRODUCT(AZ104,Z104),IMPRODUCT(BA104,AB104))</f>
        <v>0</v>
      </c>
      <c r="BE104" s="5" t="str">
        <f>IMSUM(IMPRODUCT(AZ104,AA104),IMPRODUCT(BA104,AC104))</f>
        <v>1</v>
      </c>
      <c r="BF104" s="4" t="str">
        <f>IMSUM(IMPRODUCT(BB104,AD104),IMPRODUCT(BC104,AF104))</f>
        <v>1</v>
      </c>
      <c r="BG104" s="5" t="str">
        <f>IMSUM(IMPRODUCT(BB104,AE104),IMPRODUCT(BC104,AG104))</f>
        <v>0</v>
      </c>
      <c r="BH104" s="5" t="str">
        <f>IMSUM(IMPRODUCT(BD104,AD104),IMPRODUCT(BE104,AF104))</f>
        <v>0</v>
      </c>
      <c r="BI104" s="5" t="str">
        <f>IMSUM(IMPRODUCT(BD104,AE104),IMPRODUCT(BE104,AG104))</f>
        <v>1</v>
      </c>
      <c r="BJ104" s="4" t="str">
        <f>IMSUM(IMPRODUCT(BF104,AH104),IMPRODUCT(BG104,AJ104))</f>
        <v>1</v>
      </c>
      <c r="BK104" s="5" t="str">
        <f>IMSUM(IMPRODUCT(BF104,AI104),IMPRODUCT(BG104,AK104))</f>
        <v>0</v>
      </c>
      <c r="BL104" s="5" t="str">
        <f>IMSUM(IMPRODUCT(BH104,AH104),IMPRODUCT(BI104,AJ104))</f>
        <v>0</v>
      </c>
      <c r="BM104" s="5" t="str">
        <f>IMSUM(IMPRODUCT(BH104,AI104),IMPRODUCT(BI104,AK104))</f>
        <v>1</v>
      </c>
      <c r="BN104" s="4">
        <f>$B$6</f>
        <v>500</v>
      </c>
      <c r="BO104" s="4">
        <v>1</v>
      </c>
      <c r="BP104" s="4" t="str">
        <f>IMSUM(IMPRODUCT($BJ104,$BN104),IMPRODUCT($BK104,$BO104))</f>
        <v>500</v>
      </c>
      <c r="BQ104" s="4" t="str">
        <f>IMSUM(IMPRODUCT($BL104,$BN104),IMPRODUCT($BM104,$BO104))</f>
        <v>1</v>
      </c>
      <c r="BR104" s="4" t="str">
        <f>IMDIV($BP104,$BQ104)</f>
        <v>500</v>
      </c>
      <c r="BS104" s="4" t="str">
        <f>IMDIV(IMSUB($BQ$100,$BR104),IMSUM($BQ$100,$BR104))</f>
        <v>-0.666666666666667</v>
      </c>
      <c r="BT104" s="4">
        <f>IMABS($BS104)</f>
        <v>0.666666666666667</v>
      </c>
      <c r="BU104" s="4">
        <f>(1+$BT104)/(1-$BT104)</f>
        <v>5.000000000000005</v>
      </c>
      <c r="BV104" s="4">
        <f>10*LOG10(1-$BT104^2)</f>
        <v>-2.552725051033064</v>
      </c>
    </row>
    <row r="105" spans="1:74" ht="12.75">
      <c r="A105" s="5">
        <v>2</v>
      </c>
      <c r="B105" s="5">
        <f aca="true" t="shared" si="1" ref="B105:B168">$B$10+0.01*($B$11-$B$10)*(A105-1)</f>
        <v>0.2</v>
      </c>
      <c r="C105" s="4">
        <f t="shared" si="0"/>
        <v>0.031415926535897934</v>
      </c>
      <c r="D105" s="4">
        <f aca="true" t="shared" si="2" ref="D105:D168">SIN($C105)</f>
        <v>0.03141075907812829</v>
      </c>
      <c r="E105" s="5">
        <f aca="true" t="shared" si="3" ref="E105:E168">COS($C105)</f>
        <v>0.9995065603657315</v>
      </c>
      <c r="F105" s="9" t="str">
        <f>IF($B$7&gt;0,COMPLEX($E105,0),1)</f>
        <v>0.999506560365731</v>
      </c>
      <c r="G105" s="9" t="str">
        <f>IF($B$7&gt;0,COMPLEX(0,$D105*$B$16),0)</f>
        <v>3.75613995266839i</v>
      </c>
      <c r="H105" s="9" t="str">
        <f>IF($B$7&gt;0,COMPLEX(0,$D105/$B$16),0)</f>
        <v>2.62672796620186E-004i</v>
      </c>
      <c r="I105" s="9" t="str">
        <f>IF($B$7&gt;0,COMPLEX($E105,0),1)</f>
        <v>0.999506560365731</v>
      </c>
      <c r="J105" s="9" t="str">
        <f>IF($B$7&gt;1,COMPLEX($E105,0),1)</f>
        <v>0.999506560365731</v>
      </c>
      <c r="K105" s="9" t="str">
        <f>IF($B$7&gt;1,COMPLEX(0,$D105*$B$17),0)</f>
        <v>4.49164164066818i</v>
      </c>
      <c r="L105" s="9" t="str">
        <f>IF($B$7&gt;1,COMPLEX(0,$D105/$B$17),0)</f>
        <v>2.19660396976248E-004i</v>
      </c>
      <c r="M105" s="9" t="str">
        <f>IF($B$7&gt;1,COMPLEX($E105,0),1)</f>
        <v>0.999506560365731</v>
      </c>
      <c r="N105" s="9" t="str">
        <f>IF($B$7&gt;2,COMPLEX($E105,0),1)</f>
        <v>0.999506560365731</v>
      </c>
      <c r="O105" s="9" t="str">
        <f>IF($B$7&gt;2,COMPLEX(0,$D105*$B$18),0)</f>
        <v>5.37116424904561i</v>
      </c>
      <c r="P105" s="9" t="str">
        <f>IF($B$7&gt;2,COMPLEX(0,$D105/$B$18),0)</f>
        <v>1.83691233430356E-004i</v>
      </c>
      <c r="Q105" s="9" t="str">
        <f>IF($B$7&gt;2,COMPLEX($E105,0),1)</f>
        <v>0.999506560365731</v>
      </c>
      <c r="R105" s="9" t="str">
        <f>IF($B$7&gt;3,COMPLEX($E105,0),1)</f>
        <v>0.999506560365731</v>
      </c>
      <c r="S105" s="9" t="str">
        <f>IF($B$7&gt;3,COMPLEX(0,$D105*$B$19),0)</f>
        <v>6.4229089714143i</v>
      </c>
      <c r="T105" s="9" t="str">
        <f>IF($B$7&gt;3,COMPLEX(0,$D105/$B$19),0)</f>
        <v>1.53611983332681E-004i</v>
      </c>
      <c r="U105" s="9" t="str">
        <f>IF($B$7&gt;3,COMPLEX($E105,0),1)</f>
        <v>0.999506560365731</v>
      </c>
      <c r="V105" s="9" t="str">
        <f>IF($B$7&gt;4,COMPLEX($E105,0),1)</f>
        <v>0.999506560365731</v>
      </c>
      <c r="W105" s="9" t="str">
        <f>IF($B$7&gt;4,COMPLEX(0,$D105*$B$20),0)</f>
        <v>7.68059916663404i</v>
      </c>
      <c r="X105" s="9" t="str">
        <f>IF($B$7&gt;4,COMPLEX(0,$D105/$B$20),0)</f>
        <v>1.28458179428286E-004i</v>
      </c>
      <c r="Y105" s="9" t="str">
        <f>IF($B$7&gt;4,COMPLEX($E105,0),1)</f>
        <v>0.999506560365731</v>
      </c>
      <c r="Z105" s="9" t="str">
        <f>IF($B$7&gt;5,COMPLEX($E105,0),1)</f>
        <v>0.999506560365731</v>
      </c>
      <c r="AA105" s="9" t="str">
        <f>IF($B$7&gt;5,COMPLEX(0,$D105*$B$21),0)</f>
        <v>9.18456167151779i</v>
      </c>
      <c r="AB105" s="9" t="str">
        <f>IF($B$7&gt;5,COMPLEX(0,$D105/$B$21),0)</f>
        <v>1.07423284980912E-004i</v>
      </c>
      <c r="AC105" s="9" t="str">
        <f>IF($B$7&gt;5,COMPLEX($E105,0),1)</f>
        <v>0.999506560365731</v>
      </c>
      <c r="AD105" s="9" t="str">
        <f>IF($B$7&gt;6,COMPLEX($E105,0),1)</f>
        <v>0.999506560365731</v>
      </c>
      <c r="AE105" s="9" t="str">
        <f>IF($B$7&gt;6,COMPLEX(0,$D105*$B$22),0)</f>
        <v>10.9830198488124i</v>
      </c>
      <c r="AF105" s="9" t="str">
        <f>IF($B$7&gt;6,COMPLEX(0,$D105/$B$22),0)</f>
        <v>8.98328328133636E-005i</v>
      </c>
      <c r="AG105" s="9" t="str">
        <f>IF($B$7&gt;6,COMPLEX($E105,0),1)</f>
        <v>0.999506560365731</v>
      </c>
      <c r="AH105" s="9" t="str">
        <f>IF($B$7&gt;7,COMPLEX($E105,0),1)</f>
        <v>0.999506560365731</v>
      </c>
      <c r="AI105" s="9" t="str">
        <f>IF($B$7&gt;7,COMPLEX(0,$D105*$B$23),0)</f>
        <v>13.1336398310093i</v>
      </c>
      <c r="AJ105" s="9" t="str">
        <f>IF($B$7&gt;7,COMPLEX(0,$D105/$B$23),0)</f>
        <v>7.51227990533678E-005i</v>
      </c>
      <c r="AK105" s="9" t="str">
        <f>IF($B$7&gt;7,COMPLEX($E105,0),1)</f>
        <v>0.999506560365731</v>
      </c>
      <c r="AL105" s="4" t="str">
        <f>IMSUM(IMPRODUCT(F105,J105),IMPRODUCT(G105,L105))</f>
        <v>0.998188289021034</v>
      </c>
      <c r="AM105" s="5" t="str">
        <f>IMSUM(IMPRODUCT(F105,K105),IMPRODUCT(G105,M105))</f>
        <v>8.24371181100362i</v>
      </c>
      <c r="AN105" s="5" t="str">
        <f>IMSUM(IMPRODUCT(H105,J105),IMPRODUCT(I105,L105))</f>
        <v>4.8209519128179E-004i</v>
      </c>
      <c r="AO105" s="5" t="str">
        <f>IMSUM(IMPRODUCT(H105,K105),IMPRODUCT(I105,M105))</f>
        <v>0.997833532142965</v>
      </c>
      <c r="AP105" s="4" t="str">
        <f>IMSUM(IMPRODUCT(AL105,N105),IMPRODUCT(AM105,P105))</f>
        <v>0.99618144576616</v>
      </c>
      <c r="AQ105" s="5" t="str">
        <f>IMSUM(IMPRODUCT(AL105,O105),IMPRODUCT(AM105,Q105))</f>
        <v>13.6010772886684i</v>
      </c>
      <c r="AR105" s="5" t="str">
        <f>IMSUM(IMPRODUCT(AN105,N105),IMPRODUCT(AO105,P105))</f>
        <v>6.65150578684431E-004i</v>
      </c>
      <c r="AS105" s="5" t="str">
        <f>IMSUM(IMPRODUCT(AN105,O105),IMPRODUCT(AO105,Q105))</f>
        <v>0.994751749073753</v>
      </c>
      <c r="AT105" s="4" t="str">
        <f>IMSUM(IMPRODUCT(AP105,R105),IMPRODUCT(AQ105,T105))</f>
        <v>0.993600601900123</v>
      </c>
      <c r="AU105" s="5" t="str">
        <f>IMSUM(IMPRODUCT(AP105,S105),IMPRODUCT(AQ105,U105))</f>
        <v>19.9927487232333i</v>
      </c>
      <c r="AV105" s="5" t="str">
        <f>IMSUM(IMPRODUCT(AR105,R105),IMPRODUCT(AS105,T105))</f>
        <v>8.17628156125024E-004i</v>
      </c>
      <c r="AW105" s="5" t="str">
        <f>IMSUM(IMPRODUCT(AR105,S105),IMPRODUCT(AS105,U105))</f>
        <v>0.989988697515328</v>
      </c>
      <c r="AX105" s="4" t="str">
        <f>IMSUM(IMPRODUCT(AT105,V105),IMPRODUCT(AU105,X105))</f>
        <v>0.990542087879758</v>
      </c>
      <c r="AY105" s="5" t="str">
        <f>IMSUM(IMPRODUCT(AT105,W105),IMPRODUCT(AU105,Y105))</f>
        <v>27.6143314635365i</v>
      </c>
      <c r="AZ105" s="5" t="str">
        <f>IMSUM(IMPRODUCT(AV105,V105),IMPRODUCT(AW105,X105))</f>
        <v>9.44396851724097E-004i</v>
      </c>
      <c r="BA105" s="5" t="str">
        <f>IMSUM(IMPRODUCT(AV105,W105),IMPRODUCT(AW105,Y105))</f>
        <v>0.983220323719946</v>
      </c>
      <c r="BB105" s="4" t="str">
        <f>IMSUM(IMPRODUCT(AX105,Z105),IMPRODUCT(AY105,AB105))</f>
        <v>0.987086892955822</v>
      </c>
      <c r="BC105" s="5" t="str">
        <f>IMSUM(IMPRODUCT(AX105,AA105),IMPRODUCT(AY105,AC105))</f>
        <v>36.6984003522842i</v>
      </c>
      <c r="BD105" s="5" t="str">
        <f>IMSUM(IMPRODUCT(AZ105,Z105),IMPRODUCT(BA105,AB105))</f>
        <v>1.04955160592097E-003i</v>
      </c>
      <c r="BE105" s="5" t="str">
        <f>IMSUM(IMPRODUCT(AZ105,AA105),IMPRODUCT(BA105,AC105))</f>
        <v>0.974061292715957</v>
      </c>
      <c r="BF105" s="4" t="str">
        <f>IMSUM(IMPRODUCT(BB105,AD105),IMPRODUCT(BC105,AF105))</f>
        <v>0.983303103897005</v>
      </c>
      <c r="BG105" s="5" t="str">
        <f>IMSUM(IMPRODUCT(BB105,AE105),IMPRODUCT(BC105,AG105))</f>
        <v>47.5214868448725i</v>
      </c>
      <c r="BH105" s="5" t="str">
        <f>IMSUM(IMPRODUCT(BD105,AD105),IMPRODUCT(BE105,AF105))</f>
        <v>1.13653640081892E-003i</v>
      </c>
      <c r="BI105" s="5" t="str">
        <f>IMSUM(IMPRODUCT(BD105,AE105),IMPRODUCT(BE105,AG105))</f>
        <v>0.962053406147741</v>
      </c>
      <c r="BJ105" s="4" t="str">
        <f>IMSUM(IMPRODUCT(BF105,AH105),IMPRODUCT(BG105,AJ105))</f>
        <v>0.979247956066078</v>
      </c>
      <c r="BK105" s="5" t="str">
        <f>IMSUM(IMPRODUCT(BF105,AI105),IMPRODUCT(BG105,AK105))</f>
        <v>60.4123866710807i</v>
      </c>
      <c r="BL105" s="5" t="str">
        <f>IMSUM(IMPRODUCT(BH105,AH105),IMPRODUCT(BI105,AJ105))</f>
        <v>1.20824773342161E-003i</v>
      </c>
      <c r="BM105" s="5" t="str">
        <f>IMSUM(IMPRODUCT(BH105,AI105),IMPRODUCT(BI105,AK105))</f>
        <v>0.946651831123677</v>
      </c>
      <c r="BN105" s="4">
        <f aca="true" t="shared" si="4" ref="BN105:BN168">$B$6</f>
        <v>500</v>
      </c>
      <c r="BO105" s="4">
        <v>1</v>
      </c>
      <c r="BP105" s="4" t="str">
        <f>IMSUM(IMPRODUCT($BJ105,$BN105),IMPRODUCT($BK105,$BO105))</f>
        <v>489.623978033039+60.4123866710807i</v>
      </c>
      <c r="BQ105" s="4" t="str">
        <f>IMSUM(IMPRODUCT($BL105,$BN105),IMPRODUCT($BM105,$BO105))</f>
        <v>0.946651831123677+0.604123866710805i</v>
      </c>
      <c r="BR105" s="4" t="str">
        <f>IMDIV($BP105,$BQ105)</f>
        <v>396.474442777823-189.200803149843i</v>
      </c>
      <c r="BS105" s="4" t="str">
        <f>IMDIV(IMSUB($BQ$100,$BR105),IMSUM($BQ$100,$BR105))</f>
        <v>-0.64824448713807+0.134050053359232i</v>
      </c>
      <c r="BT105" s="4">
        <f>IMABS($BS105)</f>
        <v>0.6619594639481426</v>
      </c>
      <c r="BU105" s="4">
        <f aca="true" t="shared" si="5" ref="BU105:BU168">(1+$BT105)/(1-$BT105)</f>
        <v>4.916450208483838</v>
      </c>
      <c r="BV105" s="4">
        <f aca="true" t="shared" si="6" ref="BV105:BV168">10*LOG10(1-$BT105^2)</f>
        <v>-2.5041079136835567</v>
      </c>
    </row>
    <row r="106" spans="1:74" ht="12.75">
      <c r="A106" s="5">
        <v>3</v>
      </c>
      <c r="B106" s="5">
        <f t="shared" si="1"/>
        <v>0.4</v>
      </c>
      <c r="C106" s="4">
        <f t="shared" si="0"/>
        <v>0.06283185307179587</v>
      </c>
      <c r="D106" s="4">
        <f t="shared" si="2"/>
        <v>0.06279051952931337</v>
      </c>
      <c r="E106" s="5">
        <f t="shared" si="3"/>
        <v>0.9980267284282716</v>
      </c>
      <c r="F106" s="9" t="str">
        <f>IF($B$7&gt;0,COMPLEX($E106,0),1)</f>
        <v>0.998026728428272</v>
      </c>
      <c r="G106" s="9" t="str">
        <f>IF($B$7&gt;0,COMPLEX(0,$D106*$B$16),0)</f>
        <v>7.50857304868777i</v>
      </c>
      <c r="H106" s="9" t="str">
        <f>IF($B$7&gt;0,COMPLEX(0,$D106/$B$16),0)</f>
        <v>5.25086366902979E-004i</v>
      </c>
      <c r="I106" s="9" t="str">
        <f>IF($B$7&gt;0,COMPLEX($E106,0),1)</f>
        <v>0.998026728428272</v>
      </c>
      <c r="J106" s="9" t="str">
        <f>IF($B$7&gt;1,COMPLEX($E106,0),1)</f>
        <v>0.998026728428272</v>
      </c>
      <c r="K106" s="9" t="str">
        <f>IF($B$7&gt;1,COMPLEX(0,$D106*$B$17),0)</f>
        <v>8.97885057331949i</v>
      </c>
      <c r="L106" s="9" t="str">
        <f>IF($B$7&gt;1,COMPLEX(0,$D106/$B$17),0)</f>
        <v>4.39104015660602E-004i</v>
      </c>
      <c r="M106" s="9" t="str">
        <f>IF($B$7&gt;1,COMPLEX($E106,0),1)</f>
        <v>0.998026728428272</v>
      </c>
      <c r="N106" s="9" t="str">
        <f>IF($B$7&gt;2,COMPLEX($E106,0),1)</f>
        <v>0.998026728428272</v>
      </c>
      <c r="O106" s="9" t="str">
        <f>IF($B$7&gt;2,COMPLEX(0,$D106*$B$18),0)</f>
        <v>10.7370278074459i</v>
      </c>
      <c r="P106" s="9" t="str">
        <f>IF($B$7&gt;2,COMPLEX(0,$D106/$B$18),0)</f>
        <v>3.67201185790627E-004i</v>
      </c>
      <c r="Q106" s="9" t="str">
        <f>IF($B$7&gt;2,COMPLEX($E106,0),1)</f>
        <v>0.998026728428272</v>
      </c>
      <c r="R106" s="9" t="str">
        <f>IF($B$7&gt;3,COMPLEX($E106,0),1)</f>
        <v>0.998026728428272</v>
      </c>
      <c r="S106" s="9" t="str">
        <f>IF($B$7&gt;3,COMPLEX(0,$D106*$B$19),0)</f>
        <v>12.839479307121i</v>
      </c>
      <c r="T106" s="9" t="str">
        <f>IF($B$7&gt;3,COMPLEX(0,$D106/$B$19),0)</f>
        <v>3.07072370183612E-004i</v>
      </c>
      <c r="U106" s="9" t="str">
        <f>IF($B$7&gt;3,COMPLEX($E106,0),1)</f>
        <v>0.998026728428272</v>
      </c>
      <c r="V106" s="9" t="str">
        <f>IF($B$7&gt;4,COMPLEX($E106,0),1)</f>
        <v>0.998026728428272</v>
      </c>
      <c r="W106" s="9" t="str">
        <f>IF($B$7&gt;4,COMPLEX(0,$D106*$B$20),0)</f>
        <v>15.3536185091806i</v>
      </c>
      <c r="X106" s="9" t="str">
        <f>IF($B$7&gt;4,COMPLEX(0,$D106/$B$20),0)</f>
        <v>2.5678958614242E-004i</v>
      </c>
      <c r="Y106" s="9" t="str">
        <f>IF($B$7&gt;4,COMPLEX($E106,0),1)</f>
        <v>0.998026728428272</v>
      </c>
      <c r="Z106" s="9" t="str">
        <f>IF($B$7&gt;5,COMPLEX($E106,0),1)</f>
        <v>0.998026728428272</v>
      </c>
      <c r="AA106" s="9" t="str">
        <f>IF($B$7&gt;5,COMPLEX(0,$D106*$B$21),0)</f>
        <v>18.3600592895314i</v>
      </c>
      <c r="AB106" s="9" t="str">
        <f>IF($B$7&gt;5,COMPLEX(0,$D106/$B$21),0)</f>
        <v>2.14740556148919E-004i</v>
      </c>
      <c r="AC106" s="9" t="str">
        <f>IF($B$7&gt;5,COMPLEX($E106,0),1)</f>
        <v>0.998026728428272</v>
      </c>
      <c r="AD106" s="9" t="str">
        <f>IF($B$7&gt;6,COMPLEX($E106,0),1)</f>
        <v>0.998026728428272</v>
      </c>
      <c r="AE106" s="9" t="str">
        <f>IF($B$7&gt;6,COMPLEX(0,$D106*$B$22),0)</f>
        <v>21.9552007830301i</v>
      </c>
      <c r="AF106" s="9" t="str">
        <f>IF($B$7&gt;6,COMPLEX(0,$D106/$B$22),0)</f>
        <v>1.7957701146639E-004i</v>
      </c>
      <c r="AG106" s="9" t="str">
        <f>IF($B$7&gt;6,COMPLEX($E106,0),1)</f>
        <v>0.998026728428272</v>
      </c>
      <c r="AH106" s="9" t="str">
        <f>IF($B$7&gt;7,COMPLEX($E106,0),1)</f>
        <v>0.998026728428272</v>
      </c>
      <c r="AI106" s="9" t="str">
        <f>IF($B$7&gt;7,COMPLEX(0,$D106*$B$23),0)</f>
        <v>26.2543183451489i</v>
      </c>
      <c r="AJ106" s="9" t="str">
        <f>IF($B$7&gt;7,COMPLEX(0,$D106/$B$23),0)</f>
        <v>1.50171460973755E-004i</v>
      </c>
      <c r="AK106" s="9" t="str">
        <f>IF($B$7&gt;7,COMPLEX($E106,0),1)</f>
        <v>0.998026728428272</v>
      </c>
      <c r="AL106" s="4" t="str">
        <f>IMSUM(IMPRODUCT(F106,J106),IMPRODUCT(G106,L106))</f>
        <v>0.99276030607968</v>
      </c>
      <c r="AM106" s="5" t="str">
        <f>IMSUM(IMPRODUCT(F106,K106),IMPRODUCT(G106,M106))</f>
        <v>16.4548894576829i</v>
      </c>
      <c r="AN106" s="5" t="str">
        <f>IMSUM(IMPRODUCT(H106,J106),IMPRODUCT(I106,L106))</f>
        <v>9.62287773091934E-004i</v>
      </c>
      <c r="AO106" s="5" t="str">
        <f>IMSUM(IMPRODUCT(H106,K106),IMPRODUCT(I106,M106))</f>
        <v>0.991342678630731</v>
      </c>
      <c r="AP106" s="4" t="str">
        <f>IMSUM(IMPRODUCT(AL106,N106),IMPRODUCT(AM106,P106))</f>
        <v>0.984759065469238</v>
      </c>
      <c r="AQ106" s="5" t="str">
        <f>IMSUM(IMPRODUCT(AL106,O106),IMPRODUCT(AM106,Q106))</f>
        <v>27.0817145046061i</v>
      </c>
      <c r="AR106" s="5" t="str">
        <f>IMSUM(IMPRODUCT(AN106,N106),IMPRODUCT(AO106,P106))</f>
        <v>1.32441112510353E-003i</v>
      </c>
      <c r="AS106" s="5" t="str">
        <f>IMSUM(IMPRODUCT(AN106,O106),IMPRODUCT(AO106,Q106))</f>
        <v>0.979054379726695</v>
      </c>
      <c r="AT106" s="4" t="str">
        <f>IMSUM(IMPRODUCT(AP106,R106),IMPRODUCT(AQ106,T106))</f>
        <v>0.974499822138781</v>
      </c>
      <c r="AU106" s="5" t="str">
        <f>IMSUM(IMPRODUCT(AP106,S106),IMPRODUCT(AQ106,U106))</f>
        <v>39.6720685708526i</v>
      </c>
      <c r="AV106" s="5" t="str">
        <f>IMSUM(IMPRODUCT(AR106,R106),IMPRODUCT(AS106,T106))</f>
        <v>1.6224382512024E-003i</v>
      </c>
      <c r="AW106" s="5" t="str">
        <f>IMSUM(IMPRODUCT(AR106,S106),IMPRODUCT(AS106,U106))</f>
        <v>0.960117690317117</v>
      </c>
      <c r="AX106" s="4" t="str">
        <f>IMSUM(IMPRODUCT(AT106,V106),IMPRODUCT(AU106,X106))</f>
        <v>0.962389495273378</v>
      </c>
      <c r="AY106" s="5" t="str">
        <f>IMSUM(IMPRODUCT(AT106,W106),IMPRODUCT(AU106,Y106))</f>
        <v>54.5558833121333i</v>
      </c>
      <c r="AZ106" s="5" t="str">
        <f>IMSUM(IMPRODUCT(AV106,V106),IMPRODUCT(AW106,X106))</f>
        <v>1.86578496426897E-003i</v>
      </c>
      <c r="BA106" s="5" t="str">
        <f>IMSUM(IMPRODUCT(AV106,W106),IMPRODUCT(AW106,Y106))</f>
        <v>0.933312819409637</v>
      </c>
      <c r="BB106" s="4" t="str">
        <f>IMSUM(IMPRODUCT(AX106,Z106),IMPRODUCT(AY106,AB106))</f>
        <v>0.948775078717782</v>
      </c>
      <c r="BC106" s="5" t="str">
        <f>IMSUM(IMPRODUCT(AX106,AA106),IMPRODUCT(AY106,AC106))</f>
        <v>72.1177579313644i</v>
      </c>
      <c r="BD106" s="5" t="str">
        <f>IMSUM(IMPRODUCT(AZ106,Z106),IMPRODUCT(BA106,AB106))</f>
        <v>2.06252337774096E-003i</v>
      </c>
      <c r="BE106" s="5" t="str">
        <f>IMSUM(IMPRODUCT(AZ106,AA106),IMPRODUCT(BA106,AC106))</f>
        <v>0.897215217190072</v>
      </c>
      <c r="BF106" s="4" t="str">
        <f>IMSUM(IMPRODUCT(BB106,AD106),IMPRODUCT(BC106,AF106))</f>
        <v>0.933952196384013</v>
      </c>
      <c r="BG106" s="5" t="str">
        <f>IMSUM(IMPRODUCT(BB106,AE106),IMPRODUCT(BC106,AG106))</f>
        <v>92.8059973610058i</v>
      </c>
      <c r="BH106" s="5" t="str">
        <f>IMSUM(IMPRODUCT(BD106,AD106),IMPRODUCT(BE106,AF106))</f>
        <v>2.2195726863388E-003i</v>
      </c>
      <c r="BI106" s="5" t="str">
        <f>IMSUM(IMPRODUCT(BD106,AE106),IMPRODUCT(BE106,AG106))</f>
        <v>0.850161653030273</v>
      </c>
      <c r="BJ106" s="4" t="str">
        <f>IMSUM(IMPRODUCT(BF106,AH106),IMPRODUCT(BG106,AJ106))</f>
        <v>0.918172442854706</v>
      </c>
      <c r="BK106" s="5" t="str">
        <f>IMSUM(IMPRODUCT(BF106,AI106),IMPRODUCT(BG106,AK106))</f>
        <v>117.143144207744i</v>
      </c>
      <c r="BL106" s="5" t="str">
        <f>IMSUM(IMPRODUCT(BH106,AH106),IMPRODUCT(BI106,AJ106))</f>
        <v>2.34286288415488E-003i</v>
      </c>
      <c r="BM106" s="5" t="str">
        <f>IMSUM(IMPRODUCT(BH106,AI106),IMPRODUCT(BI106,AK106))</f>
        <v>0.790210685311639</v>
      </c>
      <c r="BN106" s="4">
        <f t="shared" si="4"/>
        <v>500</v>
      </c>
      <c r="BO106" s="4">
        <v>1</v>
      </c>
      <c r="BP106" s="4" t="str">
        <f>IMSUM(IMPRODUCT($BJ106,$BN106),IMPRODUCT($BK106,$BO106))</f>
        <v>459.086221427353+117.143144207744i</v>
      </c>
      <c r="BQ106" s="4" t="str">
        <f>IMSUM(IMPRODUCT($BL106,$BN106),IMPRODUCT($BM106,$BO106))</f>
        <v>0.790210685311639+1.17143144207744i</v>
      </c>
      <c r="BR106" s="4" t="str">
        <f>IMDIV($BP106,$BQ106)</f>
        <v>250.415119319997-222.979774141861i</v>
      </c>
      <c r="BS106" s="4" t="str">
        <f>IMDIV(IMSUB($BQ$100,$BR106),IMSUM($BQ$100,$BR106))</f>
        <v>-0.593746883920244+0.258511185943345i</v>
      </c>
      <c r="BT106" s="4">
        <f>IMABS($BS106)</f>
        <v>0.6475827324927946</v>
      </c>
      <c r="BU106" s="4">
        <f t="shared" si="5"/>
        <v>4.67509082102258</v>
      </c>
      <c r="BV106" s="4">
        <f t="shared" si="6"/>
        <v>-2.360955887854867</v>
      </c>
    </row>
    <row r="107" spans="1:74" ht="12.75">
      <c r="A107" s="5">
        <v>4</v>
      </c>
      <c r="B107" s="5">
        <f t="shared" si="1"/>
        <v>0.6000000000000001</v>
      </c>
      <c r="C107" s="4">
        <f t="shared" si="0"/>
        <v>0.09424777960769382</v>
      </c>
      <c r="D107" s="4">
        <f t="shared" si="2"/>
        <v>0.09410831331851433</v>
      </c>
      <c r="E107" s="5">
        <f t="shared" si="3"/>
        <v>0.99556196460308</v>
      </c>
      <c r="F107" s="9" t="str">
        <f>IF($B$7&gt;0,COMPLEX($E107,0),1)</f>
        <v>0.99556196460308</v>
      </c>
      <c r="G107" s="9" t="str">
        <f>IF($B$7&gt;0,COMPLEX(0,$D107*$B$16),0)</f>
        <v>11.2535960896291i</v>
      </c>
      <c r="H107" s="9" t="str">
        <f>IF($B$7&gt;0,COMPLEX(0,$D107/$B$16),0)</f>
        <v>7.86981740336084E-004i</v>
      </c>
      <c r="I107" s="9" t="str">
        <f>IF($B$7&gt;0,COMPLEX($E107,0),1)</f>
        <v>0.99556196460308</v>
      </c>
      <c r="J107" s="9" t="str">
        <f>IF($B$7&gt;1,COMPLEX($E107,0),1)</f>
        <v>0.99556196460308</v>
      </c>
      <c r="K107" s="9" t="str">
        <f>IF($B$7&gt;1,COMPLEX(0,$D107*$B$17),0)</f>
        <v>13.4571984644847i</v>
      </c>
      <c r="L107" s="9" t="str">
        <f>IF($B$7&gt;1,COMPLEX(0,$D107/$B$17),0)</f>
        <v>6.58114291695169E-004i</v>
      </c>
      <c r="M107" s="9" t="str">
        <f>IF($B$7&gt;1,COMPLEX($E107,0),1)</f>
        <v>0.99556196460308</v>
      </c>
      <c r="N107" s="9" t="str">
        <f>IF($B$7&gt;2,COMPLEX($E107,0),1)</f>
        <v>0.99556196460308</v>
      </c>
      <c r="O107" s="9" t="str">
        <f>IF($B$7&gt;2,COMPLEX(0,$D107*$B$18),0)</f>
        <v>16.0922952156974i</v>
      </c>
      <c r="P107" s="9" t="str">
        <f>IF($B$7&gt;2,COMPLEX(0,$D107/$B$18),0)</f>
        <v>5.5034875491326E-004i</v>
      </c>
      <c r="Q107" s="9" t="str">
        <f>IF($B$7&gt;2,COMPLEX($E107,0),1)</f>
        <v>0.99556196460308</v>
      </c>
      <c r="R107" s="9" t="str">
        <f>IF($B$7&gt;3,COMPLEX($E107,0),1)</f>
        <v>0.99556196460308</v>
      </c>
      <c r="S107" s="9" t="str">
        <f>IF($B$7&gt;3,COMPLEX(0,$D107*$B$19),0)</f>
        <v>19.2433786268807i</v>
      </c>
      <c r="T107" s="9" t="str">
        <f>IF($B$7&gt;3,COMPLEX(0,$D107/$B$19),0)</f>
        <v>4.60229713678468E-004i</v>
      </c>
      <c r="U107" s="9" t="str">
        <f>IF($B$7&gt;3,COMPLEX($E107,0),1)</f>
        <v>0.99556196460308</v>
      </c>
      <c r="V107" s="9" t="str">
        <f>IF($B$7&gt;4,COMPLEX($E107,0),1)</f>
        <v>0.99556196460308</v>
      </c>
      <c r="W107" s="9" t="str">
        <f>IF($B$7&gt;4,COMPLEX(0,$D107*$B$20),0)</f>
        <v>23.0114856839234i</v>
      </c>
      <c r="X107" s="9" t="str">
        <f>IF($B$7&gt;4,COMPLEX(0,$D107/$B$20),0)</f>
        <v>3.84867572537614E-004i</v>
      </c>
      <c r="Y107" s="9" t="str">
        <f>IF($B$7&gt;4,COMPLEX($E107,0),1)</f>
        <v>0.99556196460308</v>
      </c>
      <c r="Z107" s="9" t="str">
        <f>IF($B$7&gt;5,COMPLEX($E107,0),1)</f>
        <v>0.99556196460308</v>
      </c>
      <c r="AA107" s="9" t="str">
        <f>IF($B$7&gt;5,COMPLEX(0,$D107*$B$21),0)</f>
        <v>27.517437745663i</v>
      </c>
      <c r="AB107" s="9" t="str">
        <f>IF($B$7&gt;5,COMPLEX(0,$D107/$B$21),0)</f>
        <v>3.21845904313948E-004i</v>
      </c>
      <c r="AC107" s="9" t="str">
        <f>IF($B$7&gt;5,COMPLEX($E107,0),1)</f>
        <v>0.99556196460308</v>
      </c>
      <c r="AD107" s="9" t="str">
        <f>IF($B$7&gt;6,COMPLEX($E107,0),1)</f>
        <v>0.99556196460308</v>
      </c>
      <c r="AE107" s="9" t="str">
        <f>IF($B$7&gt;6,COMPLEX(0,$D107*$B$22),0)</f>
        <v>32.9057145847585i</v>
      </c>
      <c r="AF107" s="9" t="str">
        <f>IF($B$7&gt;6,COMPLEX(0,$D107/$B$22),0)</f>
        <v>2.69143969289694E-004i</v>
      </c>
      <c r="AG107" s="9" t="str">
        <f>IF($B$7&gt;6,COMPLEX($E107,0),1)</f>
        <v>0.99556196460308</v>
      </c>
      <c r="AH107" s="9" t="str">
        <f>IF($B$7&gt;7,COMPLEX($E107,0),1)</f>
        <v>0.99556196460308</v>
      </c>
      <c r="AI107" s="9" t="str">
        <f>IF($B$7&gt;7,COMPLEX(0,$D107*$B$23),0)</f>
        <v>39.3490870168042i</v>
      </c>
      <c r="AJ107" s="9" t="str">
        <f>IF($B$7&gt;7,COMPLEX(0,$D107/$B$23),0)</f>
        <v>2.25071921792582E-004i</v>
      </c>
      <c r="AK107" s="9" t="str">
        <f>IF($B$7&gt;7,COMPLEX($E107,0),1)</f>
        <v>0.99556196460308</v>
      </c>
      <c r="AL107" s="4" t="str">
        <f>IMSUM(IMPRODUCT(F107,J107),IMPRODUCT(G107,L107))</f>
        <v>0.983737472944794</v>
      </c>
      <c r="AM107" s="5" t="str">
        <f>IMSUM(IMPRODUCT(F107,K107),IMPRODUCT(G107,M107))</f>
        <v>24.6011271731966i</v>
      </c>
      <c r="AN107" s="5" t="str">
        <f>IMSUM(IMPRODUCT(H107,J107),IMPRODUCT(I107,L107))</f>
        <v>1.43868264468915E-003i</v>
      </c>
      <c r="AO107" s="5" t="str">
        <f>IMSUM(IMPRODUCT(H107,K107),IMPRODUCT(I107,M107))</f>
        <v>0.980553055896716</v>
      </c>
      <c r="AP107" s="4" t="str">
        <f>IMSUM(IMPRODUCT(AL107,N107),IMPRODUCT(AM107,P107))</f>
        <v>0.965832411509357</v>
      </c>
      <c r="AQ107" s="5" t="str">
        <f>IMSUM(IMPRODUCT(AL107,O107),IMPRODUCT(AM107,Q107))</f>
        <v>40.3225403293696i</v>
      </c>
      <c r="AR107" s="5" t="str">
        <f>IMSUM(IMPRODUCT(AN107,N107),IMPRODUCT(AO107,P107))</f>
        <v>1.97194387362624E-003i</v>
      </c>
      <c r="AS107" s="5" t="str">
        <f>IMSUM(IMPRODUCT(AN107,O107),IMPRODUCT(AO107,Q107))</f>
        <v>0.95304962088605</v>
      </c>
      <c r="AT107" s="4" t="str">
        <f>IMSUM(IMPRODUCT(AP107,R107),IMPRODUCT(AQ107,T107))</f>
        <v>0.942988381889012</v>
      </c>
      <c r="AU107" s="5" t="str">
        <f>IMSUM(IMPRODUCT(AP107,S107),IMPRODUCT(AQ107,U107))</f>
        <v>58.7294662528819i</v>
      </c>
      <c r="AV107" s="5" t="str">
        <f>IMSUM(IMPRODUCT(AR107,R107),IMPRODUCT(AS107,T107))</f>
        <v>2.40181407105611E-003i</v>
      </c>
      <c r="AW107" s="5" t="str">
        <f>IMSUM(IMPRODUCT(AR107,S107),IMPRODUCT(AS107,U107))</f>
        <v>0.91087309034239</v>
      </c>
      <c r="AX107" s="4" t="str">
        <f>IMSUM(IMPRODUCT(AT107,V107),IMPRODUCT(AU107,X107))</f>
        <v>0.916200298958128</v>
      </c>
      <c r="AY107" s="5" t="str">
        <f>IMSUM(IMPRODUCT(AT107,W107),IMPRODUCT(AU107,Y107))</f>
        <v>80.1683864527545i</v>
      </c>
      <c r="AZ107" s="5" t="str">
        <f>IMSUM(IMPRODUCT(AV107,V107),IMPRODUCT(AW107,X107))</f>
        <v>2.74172025036185E-003i</v>
      </c>
      <c r="BA107" s="5" t="str">
        <f>IMSUM(IMPRODUCT(AV107,W107),IMPRODUCT(AW107,Y107))</f>
        <v>0.851561293213795</v>
      </c>
      <c r="BB107" s="4" t="str">
        <f>IMSUM(IMPRODUCT(AX107,Z107),IMPRODUCT(AY107,AB107))</f>
        <v>0.886332302765406</v>
      </c>
      <c r="BC107" s="5" t="str">
        <f>IMSUM(IMPRODUCT(AX107,AA107),IMPRODUCT(AY107,AC107))</f>
        <v>105.024081005101i</v>
      </c>
      <c r="BD107" s="5" t="str">
        <f>IMSUM(IMPRODUCT(AZ107,Z107),IMPRODUCT(BA107,AB107))</f>
        <v>3.00362391333544E-003i</v>
      </c>
      <c r="BE107" s="5" t="str">
        <f>IMSUM(IMPRODUCT(AZ107,AA107),IMPRODUCT(BA107,AC107))</f>
        <v>0.772336917746509</v>
      </c>
      <c r="BF107" s="4" t="str">
        <f>IMSUM(IMPRODUCT(BB107,AD107),IMPRODUCT(BC107,AF107))</f>
        <v>0.854132130599585</v>
      </c>
      <c r="BG107" s="5" t="str">
        <f>IMSUM(IMPRODUCT(BB107,AE107),IMPRODUCT(BC107,AG107))</f>
        <v>133.723378198121i</v>
      </c>
      <c r="BH107" s="5" t="str">
        <f>IMSUM(IMPRODUCT(BD107,AD107),IMPRODUCT(BE107,AF107))</f>
        <v>3.19816354776028E-003i</v>
      </c>
      <c r="BI107" s="5" t="str">
        <f>IMSUM(IMPRODUCT(BD107,AE107),IMPRODUCT(BE107,AG107))</f>
        <v>0.670072867955031</v>
      </c>
      <c r="BJ107" s="4" t="str">
        <f>IMSUM(IMPRODUCT(BF107,AH107),IMPRODUCT(BG107,AJ107))</f>
        <v>0.82024408425069</v>
      </c>
      <c r="BK107" s="5" t="str">
        <f>IMSUM(IMPRODUCT(BF107,AI107),IMPRODUCT(BG107,AK107))</f>
        <v>166.739228643093i</v>
      </c>
      <c r="BL107" s="5" t="str">
        <f>IMSUM(IMPRODUCT(BH107,AH107),IMPRODUCT(BI107,AJ107))</f>
        <v>3.33478457286189E-003i</v>
      </c>
      <c r="BM107" s="5" t="str">
        <f>IMSUM(IMPRODUCT(BH107,AI107),IMPRODUCT(BI107,AK107))</f>
        <v>0.541254245113741</v>
      </c>
      <c r="BN107" s="4">
        <f t="shared" si="4"/>
        <v>500</v>
      </c>
      <c r="BO107" s="4">
        <v>1</v>
      </c>
      <c r="BP107" s="4" t="str">
        <f>IMSUM(IMPRODUCT($BJ107,$BN107),IMPRODUCT($BK107,$BO107))</f>
        <v>410.122042125345+166.739228643093i</v>
      </c>
      <c r="BQ107" s="4" t="str">
        <f>IMSUM(IMPRODUCT($BL107,$BN107),IMPRODUCT($BM107,$BO107))</f>
        <v>0.541254245113741+1.66739228643094i</v>
      </c>
      <c r="BR107" s="4" t="str">
        <f>IMDIV($BP107,$BQ107)</f>
        <v>162.699341139846-193.152106841976i</v>
      </c>
      <c r="BS107" s="4" t="str">
        <f>IMDIV(IMSUB($BQ$100,$BR107),IMSUM($BQ$100,$BR107))</f>
        <v>-0.505826557263432+0.363345569104828i</v>
      </c>
      <c r="BT107" s="4">
        <f>IMABS($BS107)</f>
        <v>0.6228005367861266</v>
      </c>
      <c r="BU107" s="4">
        <f t="shared" si="5"/>
        <v>4.302234480821604</v>
      </c>
      <c r="BV107" s="4">
        <f t="shared" si="6"/>
        <v>-2.1316379128412923</v>
      </c>
    </row>
    <row r="108" spans="1:74" ht="12.75">
      <c r="A108" s="5">
        <v>5</v>
      </c>
      <c r="B108" s="5">
        <f t="shared" si="1"/>
        <v>0.8</v>
      </c>
      <c r="C108" s="4">
        <f t="shared" si="0"/>
        <v>0.12566370614359174</v>
      </c>
      <c r="D108" s="4">
        <f t="shared" si="2"/>
        <v>0.12533323356430426</v>
      </c>
      <c r="E108" s="5">
        <f t="shared" si="3"/>
        <v>0.9921147013144778</v>
      </c>
      <c r="F108" s="9" t="str">
        <f>IF($B$7&gt;0,COMPLEX($E108,0),1)</f>
        <v>0.992114701314478</v>
      </c>
      <c r="G108" s="9" t="str">
        <f>IF($B$7&gt;0,COMPLEX(0,$D108*$B$16),0)</f>
        <v>14.9875131898931i</v>
      </c>
      <c r="H108" s="9" t="str">
        <f>IF($B$7&gt;0,COMPLEX(0,$D108/$B$16),0)</f>
        <v>1.04810045780493E-003i</v>
      </c>
      <c r="I108" s="9" t="str">
        <f>IF($B$7&gt;0,COMPLEX($E108,0),1)</f>
        <v>0.992114701314478</v>
      </c>
      <c r="J108" s="9" t="str">
        <f>IF($B$7&gt;1,COMPLEX($E108,0),1)</f>
        <v>0.992114701314478</v>
      </c>
      <c r="K108" s="9" t="str">
        <f>IF($B$7&gt;1,COMPLEX(0,$D108*$B$17),0)</f>
        <v>17.9222657254727i</v>
      </c>
      <c r="L108" s="9" t="str">
        <f>IF($B$7&gt;1,COMPLEX(0,$D108/$B$17),0)</f>
        <v>8.76475088378934E-004i</v>
      </c>
      <c r="M108" s="9" t="str">
        <f>IF($B$7&gt;1,COMPLEX($E108,0),1)</f>
        <v>0.992114701314478</v>
      </c>
      <c r="N108" s="9" t="str">
        <f>IF($B$7&gt;2,COMPLEX($E108,0),1)</f>
        <v>0.992114701314478</v>
      </c>
      <c r="O108" s="9" t="str">
        <f>IF($B$7&gt;2,COMPLEX(0,$D108*$B$18),0)</f>
        <v>21.4316814714173i</v>
      </c>
      <c r="P108" s="9" t="str">
        <f>IF($B$7&gt;2,COMPLEX(0,$D108/$B$18),0)</f>
        <v>7.32953196259204E-004i</v>
      </c>
      <c r="Q108" s="9" t="str">
        <f>IF($B$7&gt;2,COMPLEX($E108,0),1)</f>
        <v>0.992114701314478</v>
      </c>
      <c r="R108" s="9" t="str">
        <f>IF($B$7&gt;3,COMPLEX($E108,0),1)</f>
        <v>0.992114701314478</v>
      </c>
      <c r="S108" s="9" t="str">
        <f>IF($B$7&gt;3,COMPLEX(0,$D108*$B$19),0)</f>
        <v>25.6282870552169i</v>
      </c>
      <c r="T108" s="9" t="str">
        <f>IF($B$7&gt;3,COMPLEX(0,$D108/$B$19),0)</f>
        <v>6.1293286601013E-004i</v>
      </c>
      <c r="U108" s="9" t="str">
        <f>IF($B$7&gt;3,COMPLEX($E108,0),1)</f>
        <v>0.992114701314478</v>
      </c>
      <c r="V108" s="9" t="str">
        <f>IF($B$7&gt;4,COMPLEX($E108,0),1)</f>
        <v>0.992114701314478</v>
      </c>
      <c r="W108" s="9" t="str">
        <f>IF($B$7&gt;4,COMPLEX(0,$D108*$B$20),0)</f>
        <v>30.6466433005065i</v>
      </c>
      <c r="X108" s="9" t="str">
        <f>IF($B$7&gt;4,COMPLEX(0,$D108/$B$20),0)</f>
        <v>5.12565741104339E-004i</v>
      </c>
      <c r="Y108" s="9" t="str">
        <f>IF($B$7&gt;4,COMPLEX($E108,0),1)</f>
        <v>0.992114701314478</v>
      </c>
      <c r="Z108" s="9" t="str">
        <f>IF($B$7&gt;5,COMPLEX($E108,0),1)</f>
        <v>0.992114701314478</v>
      </c>
      <c r="AA108" s="9" t="str">
        <f>IF($B$7&gt;5,COMPLEX(0,$D108*$B$21),0)</f>
        <v>36.6476598129602i</v>
      </c>
      <c r="AB108" s="9" t="str">
        <f>IF($B$7&gt;5,COMPLEX(0,$D108/$B$21),0)</f>
        <v>4.28633629428346E-004i</v>
      </c>
      <c r="AC108" s="9" t="str">
        <f>IF($B$7&gt;5,COMPLEX($E108,0),1)</f>
        <v>0.992114701314478</v>
      </c>
      <c r="AD108" s="9" t="str">
        <f>IF($B$7&gt;6,COMPLEX($E108,0),1)</f>
        <v>0.992114701314478</v>
      </c>
      <c r="AE108" s="9" t="str">
        <f>IF($B$7&gt;6,COMPLEX(0,$D108*$B$22),0)</f>
        <v>43.8237544189467i</v>
      </c>
      <c r="AF108" s="9" t="str">
        <f>IF($B$7&gt;6,COMPLEX(0,$D108/$B$22),0)</f>
        <v>3.58445314509454E-004i</v>
      </c>
      <c r="AG108" s="9" t="str">
        <f>IF($B$7&gt;6,COMPLEX($E108,0),1)</f>
        <v>0.992114701314478</v>
      </c>
      <c r="AH108" s="9" t="str">
        <f>IF($B$7&gt;7,COMPLEX($E108,0),1)</f>
        <v>0.992114701314478</v>
      </c>
      <c r="AI108" s="9" t="str">
        <f>IF($B$7&gt;7,COMPLEX(0,$D108*$B$23),0)</f>
        <v>52.4050228902467i</v>
      </c>
      <c r="AJ108" s="9" t="str">
        <f>IF($B$7&gt;7,COMPLEX(0,$D108/$B$23),0)</f>
        <v>2.99750263797862E-004i</v>
      </c>
      <c r="AK108" s="9" t="str">
        <f>IF($B$7&gt;7,COMPLEX($E108,0),1)</f>
        <v>0.992114701314478</v>
      </c>
      <c r="AL108" s="4" t="str">
        <f>IMSUM(IMPRODUCT(F108,J108),IMPRODUCT(G108,L108))</f>
        <v>0.971155398616624</v>
      </c>
      <c r="AM108" s="5" t="str">
        <f>IMSUM(IMPRODUCT(F108,K108),IMPRODUCT(G108,M108))</f>
        <v>32.6502754789437i</v>
      </c>
      <c r="AN108" s="5" t="str">
        <f>IMSUM(IMPRODUCT(H108,J108),IMPRODUCT(I108,L108))</f>
        <v>1.90939969315936E-003i</v>
      </c>
      <c r="AO108" s="5" t="str">
        <f>IMSUM(IMPRODUCT(H108,K108),IMPRODUCT(I108,M108))</f>
        <v>0.965507245652547</v>
      </c>
      <c r="AP108" s="4" t="str">
        <f>IMSUM(IMPRODUCT(AL108,N108),IMPRODUCT(AM108,P108))</f>
        <v>0.93956642445744</v>
      </c>
      <c r="AQ108" s="5" t="str">
        <f>IMSUM(IMPRODUCT(AL108,O108),IMPRODUCT(AM108,Q108))</f>
        <v>53.2063114670265i</v>
      </c>
      <c r="AR108" s="5" t="str">
        <f>IMSUM(IMPRODUCT(AN108,N108),IMPRODUCT(AO108,P108))</f>
        <v>2.6020151279812E-003i</v>
      </c>
      <c r="AS108" s="5" t="str">
        <f>IMSUM(IMPRODUCT(AN108,O108),IMPRODUCT(AO108,Q108))</f>
        <v>0.916972286612128</v>
      </c>
      <c r="AT108" s="4" t="str">
        <f>IMSUM(IMPRODUCT(AP108,R108),IMPRODUCT(AQ108,T108))</f>
        <v>0.899545765588393</v>
      </c>
      <c r="AU108" s="5" t="str">
        <f>IMSUM(IMPRODUCT(AP108,S108),IMPRODUCT(AQ108,U108))</f>
        <v>76.8662418425931i</v>
      </c>
      <c r="AV108" s="5" t="str">
        <f>IMSUM(IMPRODUCT(AR108,R108),IMPRODUCT(AS108,T108))</f>
        <v>3.14353991319785E-003i</v>
      </c>
      <c r="AW108" s="5" t="str">
        <f>IMSUM(IMPRODUCT(AR108,S108),IMPRODUCT(AS108,U108))</f>
        <v>0.843056495623926</v>
      </c>
      <c r="AX108" s="4" t="str">
        <f>IMSUM(IMPRODUCT(AT108,V108),IMPRODUCT(AU108,X108))</f>
        <v>0.853053576329478</v>
      </c>
      <c r="AY108" s="5" t="str">
        <f>IMSUM(IMPRODUCT(AT108,W108),IMPRODUCT(AU108,Y108))</f>
        <v>103.828186777299i</v>
      </c>
      <c r="AZ108" s="5" t="str">
        <f>IMSUM(IMPRODUCT(AV108,V108),IMPRODUCT(AW108,X108))</f>
        <v>3.55087403952473E-003i</v>
      </c>
      <c r="BA108" s="5" t="str">
        <f>IMSUM(IMPRODUCT(AV108,W108),IMPRODUCT(AW108,Y108))</f>
        <v>0.740069796926482</v>
      </c>
      <c r="BB108" s="4" t="str">
        <f>IMSUM(IMPRODUCT(AX108,Z108),IMPRODUCT(AY108,AB108))</f>
        <v>0.801822741550049</v>
      </c>
      <c r="BC108" s="5" t="str">
        <f>IMSUM(IMPRODUCT(AX108,AA108),IMPRODUCT(AY108,AC108))</f>
        <v>134.271887780136i</v>
      </c>
      <c r="BD108" s="5" t="str">
        <f>IMSUM(IMPRODUCT(AZ108,Z108),IMPRODUCT(BA108,AB108))</f>
        <v>3.84009314021531E-003i</v>
      </c>
      <c r="BE108" s="5" t="str">
        <f>IMSUM(IMPRODUCT(AZ108,AA108),IMPRODUCT(BA108,AC108))</f>
        <v>0.604102901690409</v>
      </c>
      <c r="BF108" s="4" t="str">
        <f>IMSUM(IMPRODUCT(BB108,AD108),IMPRODUCT(BC108,AF108))</f>
        <v>0.747371000694954</v>
      </c>
      <c r="BG108" s="5" t="str">
        <f>IMSUM(IMPRODUCT(BB108,AE108),IMPRODUCT(BC108,AG108))</f>
        <v>168.351996753137i</v>
      </c>
      <c r="BH108" s="5" t="str">
        <f>IMSUM(IMPRODUCT(BD108,AD108),IMPRODUCT(BE108,AF108))</f>
        <v>4.02635071341698E-003i</v>
      </c>
      <c r="BI108" s="5" t="str">
        <f>IMSUM(IMPRODUCT(BD108,AE108),IMPRODUCT(BE108,AG108))</f>
        <v>0.431052071151112</v>
      </c>
      <c r="BJ108" s="4" t="str">
        <f>IMSUM(IMPRODUCT(BF108,AH108),IMPRODUCT(BG108,AJ108))</f>
        <v>0.691014201687927</v>
      </c>
      <c r="BK108" s="5" t="str">
        <f>IMSUM(IMPRODUCT(BF108,AI108),IMPRODUCT(BG108,AK108))</f>
        <v>206.19048537336i</v>
      </c>
      <c r="BL108" s="5" t="str">
        <f>IMSUM(IMPRODUCT(BH108,AH108),IMPRODUCT(BI108,AJ108))</f>
        <v>4.12380970746718E-003i</v>
      </c>
      <c r="BM108" s="5" t="str">
        <f>IMSUM(IMPRODUCT(BH108,AI108),IMPRODUCT(BI108,AK108))</f>
        <v>0.216652095520295</v>
      </c>
      <c r="BN108" s="4">
        <f t="shared" si="4"/>
        <v>500</v>
      </c>
      <c r="BO108" s="4">
        <v>1</v>
      </c>
      <c r="BP108" s="4" t="str">
        <f>IMSUM(IMPRODUCT($BJ108,$BN108),IMPRODUCT($BK108,$BO108))</f>
        <v>345.507100843964+206.19048537336i</v>
      </c>
      <c r="BQ108" s="4" t="str">
        <f>IMSUM(IMPRODUCT($BL108,$BN108),IMPRODUCT($BM108,$BO108))</f>
        <v>0.216652095520295+2.06190485373359i</v>
      </c>
      <c r="BR108" s="4" t="str">
        <f>IMDIV($BP108,$BQ108)</f>
        <v>116.322629715491-155.344490692516i</v>
      </c>
      <c r="BS108" s="4" t="str">
        <f>IMDIV(IMSUB($BQ$100,$BR108),IMSUM($BQ$100,$BR108))</f>
        <v>-0.390016672196278+0.438038080034535i</v>
      </c>
      <c r="BT108" s="4">
        <f>IMABS($BS108)</f>
        <v>0.5865069173943311</v>
      </c>
      <c r="BU108" s="4">
        <f t="shared" si="5"/>
        <v>3.83684028617068</v>
      </c>
      <c r="BV108" s="4">
        <f t="shared" si="6"/>
        <v>-1.8308978140918641</v>
      </c>
    </row>
    <row r="109" spans="1:74" ht="12.75">
      <c r="A109" s="5">
        <v>6</v>
      </c>
      <c r="B109" s="5">
        <f t="shared" si="1"/>
        <v>1</v>
      </c>
      <c r="C109" s="4">
        <f t="shared" si="0"/>
        <v>0.15707963267948966</v>
      </c>
      <c r="D109" s="4">
        <f t="shared" si="2"/>
        <v>0.15643446504023087</v>
      </c>
      <c r="E109" s="5">
        <f t="shared" si="3"/>
        <v>0.9876883405951378</v>
      </c>
      <c r="F109" s="9" t="str">
        <f>IF($B$7&gt;0,COMPLEX($E109,0),1)</f>
        <v>0.987688340595138</v>
      </c>
      <c r="G109" s="9" t="str">
        <f>IF($B$7&gt;0,COMPLEX(0,$D109*$B$16),0)</f>
        <v>18.7066394241031i</v>
      </c>
      <c r="H109" s="9" t="str">
        <f>IF($B$7&gt;0,COMPLEX(0,$D109/$B$16),0)</f>
        <v>1.30818482666063E-003i</v>
      </c>
      <c r="I109" s="9" t="str">
        <f>IF($B$7&gt;0,COMPLEX($E109,0),1)</f>
        <v>0.987688340595138</v>
      </c>
      <c r="J109" s="9" t="str">
        <f>IF($B$7&gt;1,COMPLEX($E109,0),1)</f>
        <v>0.987688340595138</v>
      </c>
      <c r="K109" s="9" t="str">
        <f>IF($B$7&gt;1,COMPLEX(0,$D109*$B$17),0)</f>
        <v>22.3696458739711i</v>
      </c>
      <c r="L109" s="9" t="str">
        <f>IF($B$7&gt;1,COMPLEX(0,$D109/$B$17),0)</f>
        <v>1.09397090996859E-003i</v>
      </c>
      <c r="M109" s="9" t="str">
        <f>IF($B$7&gt;1,COMPLEX($E109,0),1)</f>
        <v>0.987688340595138</v>
      </c>
      <c r="N109" s="9" t="str">
        <f>IF($B$7&gt;2,COMPLEX($E109,0),1)</f>
        <v>0.987688340595138</v>
      </c>
      <c r="O109" s="9" t="str">
        <f>IF($B$7&gt;2,COMPLEX(0,$D109*$B$18),0)</f>
        <v>26.7499172450031i</v>
      </c>
      <c r="P109" s="9" t="str">
        <f>IF($B$7&gt;2,COMPLEX(0,$D109/$B$18),0)</f>
        <v>9.14834301290951E-004i</v>
      </c>
      <c r="Q109" s="9" t="str">
        <f>IF($B$7&gt;2,COMPLEX($E109,0),1)</f>
        <v>0.987688340595138</v>
      </c>
      <c r="R109" s="9" t="str">
        <f>IF($B$7&gt;3,COMPLEX($E109,0),1)</f>
        <v>0.987688340595138</v>
      </c>
      <c r="S109" s="9" t="str">
        <f>IF($B$7&gt;3,COMPLEX(0,$D109*$B$19),0)</f>
        <v>31.9879034583703i</v>
      </c>
      <c r="T109" s="9" t="str">
        <f>IF($B$7&gt;3,COMPLEX(0,$D109/$B$19),0)</f>
        <v>7.65031127603322E-004i</v>
      </c>
      <c r="U109" s="9" t="str">
        <f>IF($B$7&gt;3,COMPLEX($E109,0),1)</f>
        <v>0.987688340595138</v>
      </c>
      <c r="V109" s="9" t="str">
        <f>IF($B$7&gt;4,COMPLEX($E109,0),1)</f>
        <v>0.987688340595138</v>
      </c>
      <c r="W109" s="9" t="str">
        <f>IF($B$7&gt;4,COMPLEX(0,$D109*$B$20),0)</f>
        <v>38.2515563801661i</v>
      </c>
      <c r="X109" s="9" t="str">
        <f>IF($B$7&gt;4,COMPLEX(0,$D109/$B$20),0)</f>
        <v>6.39758069167405E-004i</v>
      </c>
      <c r="Y109" s="9" t="str">
        <f>IF($B$7&gt;4,COMPLEX($E109,0),1)</f>
        <v>0.987688340595138</v>
      </c>
      <c r="Z109" s="9" t="str">
        <f>IF($B$7&gt;5,COMPLEX($E109,0),1)</f>
        <v>0.987688340595138</v>
      </c>
      <c r="AA109" s="9" t="str">
        <f>IF($B$7&gt;5,COMPLEX(0,$D109*$B$21),0)</f>
        <v>45.7417150645475i</v>
      </c>
      <c r="AB109" s="9" t="str">
        <f>IF($B$7&gt;5,COMPLEX(0,$D109/$B$21),0)</f>
        <v>5.34998344900063E-004i</v>
      </c>
      <c r="AC109" s="9" t="str">
        <f>IF($B$7&gt;5,COMPLEX($E109,0),1)</f>
        <v>0.987688340595138</v>
      </c>
      <c r="AD109" s="9" t="str">
        <f>IF($B$7&gt;6,COMPLEX($E109,0),1)</f>
        <v>0.987688340595138</v>
      </c>
      <c r="AE109" s="9" t="str">
        <f>IF($B$7&gt;6,COMPLEX(0,$D109*$B$22),0)</f>
        <v>54.6985454984295i</v>
      </c>
      <c r="AF109" s="9" t="str">
        <f>IF($B$7&gt;6,COMPLEX(0,$D109/$B$22),0)</f>
        <v>4.47392917479421E-004i</v>
      </c>
      <c r="AG109" s="9" t="str">
        <f>IF($B$7&gt;6,COMPLEX($E109,0),1)</f>
        <v>0.987688340595138</v>
      </c>
      <c r="AH109" s="9" t="str">
        <f>IF($B$7&gt;7,COMPLEX($E109,0),1)</f>
        <v>0.987688340595138</v>
      </c>
      <c r="AI109" s="9" t="str">
        <f>IF($B$7&gt;7,COMPLEX(0,$D109*$B$23),0)</f>
        <v>65.4092413330316i</v>
      </c>
      <c r="AJ109" s="9" t="str">
        <f>IF($B$7&gt;7,COMPLEX(0,$D109/$B$23),0)</f>
        <v>3.74132788482061E-004i</v>
      </c>
      <c r="AK109" s="9" t="str">
        <f>IF($B$7&gt;7,COMPLEX($E109,0),1)</f>
        <v>0.987688340595138</v>
      </c>
      <c r="AL109" s="4" t="str">
        <f>IMSUM(IMPRODUCT(F109,J109),IMPRODUCT(G109,L109))</f>
        <v>0.955063738794337</v>
      </c>
      <c r="AM109" s="5" t="str">
        <f>IMSUM(IMPRODUCT(F109,K109),IMPRODUCT(G109,M109))</f>
        <v>40.5705680638674i</v>
      </c>
      <c r="AN109" s="5" t="str">
        <f>IMSUM(IMPRODUCT(H109,J109),IMPRODUCT(I109,L109))</f>
        <v>2.37258121336241E-003i</v>
      </c>
      <c r="AO109" s="5" t="str">
        <f>IMSUM(IMPRODUCT(H109,K109),IMPRODUCT(I109,M109))</f>
        <v>0.946264626837476</v>
      </c>
      <c r="AP109" s="4" t="str">
        <f>IMSUM(IMPRODUCT(AL109,N109),IMPRODUCT(AM109,P109))</f>
        <v>0.906189972044682</v>
      </c>
      <c r="AQ109" s="5" t="str">
        <f>IMSUM(IMPRODUCT(AL109,O109),IMPRODUCT(AM109,Q109))</f>
        <v>65.6189530244551i</v>
      </c>
      <c r="AR109" s="5" t="str">
        <f>IMSUM(IMPRODUCT(AN109,N109),IMPRODUCT(AO109,P109))</f>
        <v>3.20904614028232E-003i</v>
      </c>
      <c r="AS109" s="5" t="str">
        <f>IMSUM(IMPRODUCT(AN109,O109),IMPRODUCT(AO109,Q109))</f>
        <v>0.871148187930491</v>
      </c>
      <c r="AT109" s="4" t="str">
        <f>IMSUM(IMPRODUCT(AP109,R109),IMPRODUCT(AQ109,T109))</f>
        <v>0.844832728128318</v>
      </c>
      <c r="AU109" s="5" t="str">
        <f>IMSUM(IMPRODUCT(AP109,S109),IMPRODUCT(AQ109,U109))</f>
        <v>93.798192165023i</v>
      </c>
      <c r="AV109" s="5" t="str">
        <f>IMSUM(IMPRODUCT(AR109,R109),IMPRODUCT(AS109,T109))</f>
        <v>3.83599293771073E-003i</v>
      </c>
      <c r="AW109" s="5" t="str">
        <f>IMSUM(IMPRODUCT(AR109,S109),IMPRODUCT(AS109,U109))</f>
        <v>0.757772250020721</v>
      </c>
      <c r="AX109" s="4" t="str">
        <f>IMSUM(IMPRODUCT(AT109,V109),IMPRODUCT(AU109,X109))</f>
        <v>0.774423285014634</v>
      </c>
      <c r="AY109" s="5" t="str">
        <f>IMSUM(IMPRODUCT(AT109,W109),IMPRODUCT(AU109,Y109))</f>
        <v>124.959547502105i</v>
      </c>
      <c r="AZ109" s="5" t="str">
        <f>IMSUM(IMPRODUCT(AV109,V109),IMPRODUCT(AW109,X109))</f>
        <v>4.27355641072408E-003i</v>
      </c>
      <c r="BA109" s="5" t="str">
        <f>IMSUM(IMPRODUCT(AV109,W109),IMPRODUCT(AW109,Y109))</f>
        <v>0.601710116041249</v>
      </c>
      <c r="BB109" s="4" t="str">
        <f>IMSUM(IMPRODUCT(AX109,Z109),IMPRODUCT(AY109,AB109))</f>
        <v>0.698035698201252</v>
      </c>
      <c r="BC109" s="5" t="str">
        <f>IMSUM(IMPRODUCT(AX109,AA109),IMPRODUCT(AY109,AC109))</f>
        <v>158.844537356363i</v>
      </c>
      <c r="BD109" s="5" t="str">
        <f>IMSUM(IMPRODUCT(AZ109,Z109),IMPRODUCT(BA109,AB109))</f>
        <v>4.54285575593947E-003i</v>
      </c>
      <c r="BE109" s="5" t="str">
        <f>IMSUM(IMPRODUCT(AZ109,AA109),IMPRODUCT(BA109,AC109))</f>
        <v>0.398822266380478</v>
      </c>
      <c r="BF109" s="4" t="str">
        <f>IMSUM(IMPRODUCT(BB109,AD109),IMPRODUCT(BC109,AF109))</f>
        <v>0.618375799439031</v>
      </c>
      <c r="BG109" s="5" t="str">
        <f>IMSUM(IMPRODUCT(BB109,AE109),IMPRODUCT(BC109,AG109))</f>
        <v>195.070434911698i</v>
      </c>
      <c r="BH109" s="5" t="str">
        <f>IMSUM(IMPRODUCT(BD109,AD109),IMPRODUCT(BE109,AF109))</f>
        <v>4.66535592045865E-003i</v>
      </c>
      <c r="BI109" s="5" t="str">
        <f>IMSUM(IMPRODUCT(BD109,AE109),IMPRODUCT(BE109,AG109))</f>
        <v>0.145424500214669</v>
      </c>
      <c r="BJ109" s="4" t="str">
        <f>IMSUM(IMPRODUCT(BF109,AH109),IMPRODUCT(BG109,AJ109))</f>
        <v>0.537780321448206</v>
      </c>
      <c r="BK109" s="5" t="str">
        <f>IMSUM(IMPRODUCT(BF109,AI109),IMPRODUCT(BG109,AK109))</f>
        <v>233.116286057121i</v>
      </c>
      <c r="BL109" s="5" t="str">
        <f>IMSUM(IMPRODUCT(BH109,AH109),IMPRODUCT(BI109,AJ109))</f>
        <v>4.66232572114243E-003i</v>
      </c>
      <c r="BM109" s="5" t="str">
        <f>IMSUM(IMPRODUCT(BH109,AI109),IMPRODUCT(BI109,AK109))</f>
        <v>-0.161523308006864</v>
      </c>
      <c r="BN109" s="4">
        <f t="shared" si="4"/>
        <v>500</v>
      </c>
      <c r="BO109" s="4">
        <v>1</v>
      </c>
      <c r="BP109" s="4" t="str">
        <f>IMSUM(IMPRODUCT($BJ109,$BN109),IMPRODUCT($BK109,$BO109))</f>
        <v>268.890160724103+233.116286057121i</v>
      </c>
      <c r="BQ109" s="4" t="str">
        <f>IMSUM(IMPRODUCT($BL109,$BN109),IMPRODUCT($BM109,$BO109))</f>
        <v>-0.161523308006864+2.33116286057121i</v>
      </c>
      <c r="BR109" s="4" t="str">
        <f>IMDIV($BP109,$BQ109)</f>
        <v>91.5682145416289-121.690580458046i</v>
      </c>
      <c r="BS109" s="4" t="str">
        <f>IMDIV(IMSUB($BQ$100,$BR109),IMSUM($BQ$100,$BR109))</f>
        <v>-0.256146560115391+0.472520752421596i</v>
      </c>
      <c r="BT109" s="4">
        <f>IMABS($BS109)</f>
        <v>0.5374820199113817</v>
      </c>
      <c r="BU109" s="4">
        <f t="shared" si="5"/>
        <v>3.324156219001044</v>
      </c>
      <c r="BV109" s="4">
        <f t="shared" si="6"/>
        <v>-1.4806133405959978</v>
      </c>
    </row>
    <row r="110" spans="1:74" ht="12.75">
      <c r="A110" s="5">
        <v>7</v>
      </c>
      <c r="B110" s="5">
        <f t="shared" si="1"/>
        <v>1.2000000000000002</v>
      </c>
      <c r="C110" s="4">
        <f t="shared" si="0"/>
        <v>0.18849555921538763</v>
      </c>
      <c r="D110" s="4">
        <f t="shared" si="2"/>
        <v>0.18738131458572468</v>
      </c>
      <c r="E110" s="5">
        <f t="shared" si="3"/>
        <v>0.9822872507286887</v>
      </c>
      <c r="F110" s="9" t="str">
        <f>IF($B$7&gt;0,COMPLEX($E110,0),1)</f>
        <v>0.982287250728689</v>
      </c>
      <c r="G110" s="9" t="str">
        <f>IF($B$7&gt;0,COMPLEX(0,$D110*$B$16),0)</f>
        <v>22.4073044636814i</v>
      </c>
      <c r="H110" s="9" t="str">
        <f>IF($B$7&gt;0,COMPLEX(0,$D110/$B$16),0)</f>
        <v>1.56697817503149E-003i</v>
      </c>
      <c r="I110" s="9" t="str">
        <f>IF($B$7&gt;0,COMPLEX($E110,0),1)</f>
        <v>0.982287250728689</v>
      </c>
      <c r="J110" s="9" t="str">
        <f>IF($B$7&gt;1,COMPLEX($E110,0),1)</f>
        <v>0.982287250728689</v>
      </c>
      <c r="K110" s="9" t="str">
        <f>IF($B$7&gt;1,COMPLEX(0,$D110*$B$17),0)</f>
        <v>26.7949498827119i</v>
      </c>
      <c r="L110" s="9" t="str">
        <f>IF($B$7&gt;1,COMPLEX(0,$D110/$B$17),0)</f>
        <v>1.31038711434681E-003i</v>
      </c>
      <c r="M110" s="9" t="str">
        <f>IF($B$7&gt;1,COMPLEX($E110,0),1)</f>
        <v>0.982287250728689</v>
      </c>
      <c r="N110" s="9" t="str">
        <f>IF($B$7&gt;2,COMPLEX($E110,0),1)</f>
        <v>0.982287250728689</v>
      </c>
      <c r="O110" s="9" t="str">
        <f>IF($B$7&gt;2,COMPLEX(0,$D110*$B$18),0)</f>
        <v>32.0417540798248i</v>
      </c>
      <c r="P110" s="9" t="str">
        <f>IF($B$7&gt;2,COMPLEX(0,$D110/$B$18),0)</f>
        <v>1.09581257531661E-003i</v>
      </c>
      <c r="Q110" s="9" t="str">
        <f>IF($B$7&gt;2,COMPLEX($E110,0),1)</f>
        <v>0.982287250728689</v>
      </c>
      <c r="R110" s="9" t="str">
        <f>IF($B$7&gt;3,COMPLEX($E110,0),1)</f>
        <v>0.982287250728689</v>
      </c>
      <c r="S110" s="9" t="str">
        <f>IF($B$7&gt;3,COMPLEX(0,$D110*$B$19),0)</f>
        <v>38.3159516627566i</v>
      </c>
      <c r="T110" s="9" t="str">
        <f>IF($B$7&gt;3,COMPLEX(0,$D110/$B$19),0)</f>
        <v>9.16374395836898E-004i</v>
      </c>
      <c r="U110" s="9" t="str">
        <f>IF($B$7&gt;3,COMPLEX($E110,0),1)</f>
        <v>0.982287250728689</v>
      </c>
      <c r="V110" s="9" t="str">
        <f>IF($B$7&gt;4,COMPLEX($E110,0),1)</f>
        <v>0.982287250728689</v>
      </c>
      <c r="W110" s="9" t="str">
        <f>IF($B$7&gt;4,COMPLEX(0,$D110*$B$20),0)</f>
        <v>45.8187197918449i</v>
      </c>
      <c r="X110" s="9" t="str">
        <f>IF($B$7&gt;4,COMPLEX(0,$D110/$B$20),0)</f>
        <v>7.66319033255131E-004i</v>
      </c>
      <c r="Y110" s="9" t="str">
        <f>IF($B$7&gt;4,COMPLEX($E110,0),1)</f>
        <v>0.982287250728689</v>
      </c>
      <c r="Z110" s="9" t="str">
        <f>IF($B$7&gt;5,COMPLEX($E110,0),1)</f>
        <v>0.982287250728689</v>
      </c>
      <c r="AA110" s="9" t="str">
        <f>IF($B$7&gt;5,COMPLEX(0,$D110*$B$21),0)</f>
        <v>54.7906287658304i</v>
      </c>
      <c r="AB110" s="9" t="str">
        <f>IF($B$7&gt;5,COMPLEX(0,$D110/$B$21),0)</f>
        <v>6.40835081596497E-004i</v>
      </c>
      <c r="AC110" s="9" t="str">
        <f>IF($B$7&gt;5,COMPLEX($E110,0),1)</f>
        <v>0.982287250728689</v>
      </c>
      <c r="AD110" s="9" t="str">
        <f>IF($B$7&gt;6,COMPLEX($E110,0),1)</f>
        <v>0.982287250728689</v>
      </c>
      <c r="AE110" s="9" t="str">
        <f>IF($B$7&gt;6,COMPLEX(0,$D110*$B$22),0)</f>
        <v>65.5193557173407i</v>
      </c>
      <c r="AF110" s="9" t="str">
        <f>IF($B$7&gt;6,COMPLEX(0,$D110/$B$22),0)</f>
        <v>5.35898997654237E-004i</v>
      </c>
      <c r="AG110" s="9" t="str">
        <f>IF($B$7&gt;6,COMPLEX($E110,0),1)</f>
        <v>0.982287250728689</v>
      </c>
      <c r="AH110" s="9" t="str">
        <f>IF($B$7&gt;7,COMPLEX($E110,0),1)</f>
        <v>0.982287250728689</v>
      </c>
      <c r="AI110" s="9" t="str">
        <f>IF($B$7&gt;7,COMPLEX(0,$D110*$B$23),0)</f>
        <v>78.3489087515743i</v>
      </c>
      <c r="AJ110" s="9" t="str">
        <f>IF($B$7&gt;7,COMPLEX(0,$D110/$B$23),0)</f>
        <v>4.48146089273628E-004i</v>
      </c>
      <c r="AK110" s="9" t="str">
        <f>IF($B$7&gt;7,COMPLEX($E110,0),1)</f>
        <v>0.982287250728689</v>
      </c>
      <c r="AL110" s="4" t="str">
        <f>IMSUM(IMPRODUCT(F110,J110),IMPRODUCT(G110,L110))</f>
        <v>0.935525999907672</v>
      </c>
      <c r="AM110" s="5" t="str">
        <f>IMSUM(IMPRODUCT(F110,K110),IMPRODUCT(G110,M110))</f>
        <v>48.3307471515724i</v>
      </c>
      <c r="AN110" s="5" t="str">
        <f>IMSUM(IMPRODUCT(H110,J110),IMPRODUCT(I110,L110))</f>
        <v>2.82639923944557E-003i</v>
      </c>
      <c r="AO110" s="5" t="str">
        <f>IMSUM(IMPRODUCT(H110,K110),IMPRODUCT(I110,M110))</f>
        <v>0.922901141276854</v>
      </c>
      <c r="AP110" s="4" t="str">
        <f>IMSUM(IMPRODUCT(AL110,N110),IMPRODUCT(AM110,P110))</f>
        <v>0.865993821931375</v>
      </c>
      <c r="AQ110" s="5" t="str">
        <f>IMSUM(IMPRODUCT(AL110,O110),IMPRODUCT(AM110,Q110))</f>
        <v>77.4505707695053i</v>
      </c>
      <c r="AR110" s="5" t="str">
        <f>IMSUM(IMPRODUCT(AN110,N110),IMPRODUCT(AO110,P110))</f>
        <v>3.78766261476188E-003i</v>
      </c>
      <c r="AS110" s="5" t="str">
        <f>IMSUM(IMPRODUCT(AN110,O110),IMPRODUCT(AO110,Q110))</f>
        <v>0.815991235397491</v>
      </c>
      <c r="AT110" s="4" t="str">
        <f>IMSUM(IMPRODUCT(AP110,R110),IMPRODUCT(AQ110,T110))</f>
        <v>0.779680970496872</v>
      </c>
      <c r="AU110" s="5" t="str">
        <f>IMSUM(IMPRODUCT(AP110,S110),IMPRODUCT(AQ110,U110))</f>
        <v>109.260085649913i</v>
      </c>
      <c r="AV110" s="5" t="str">
        <f>IMSUM(IMPRODUCT(AR110,R110),IMPRODUCT(AS110,T110))</f>
        <v>4.46832617188786E-003i</v>
      </c>
      <c r="AW110" s="5" t="str">
        <f>IMSUM(IMPRODUCT(AR110,S110),IMPRODUCT(AS110,U110))</f>
        <v>0.656409889575262</v>
      </c>
      <c r="AX110" s="4" t="str">
        <f>IMSUM(IMPRODUCT(AT110,V110),IMPRODUCT(AU110,X110))</f>
        <v>0.682142593746235</v>
      </c>
      <c r="AY110" s="5" t="str">
        <f>IMSUM(IMPRODUCT(AT110,W110),IMPRODUCT(AU110,Y110))</f>
        <v>143.048773061664i</v>
      </c>
      <c r="AZ110" s="5" t="str">
        <f>IMSUM(IMPRODUCT(AV110,V110),IMPRODUCT(AW110,X110))</f>
        <v>4.89219922274119E-003i</v>
      </c>
      <c r="BA110" s="5" t="str">
        <f>IMSUM(IMPRODUCT(AV110,W110),IMPRODUCT(AW110,Y110))</f>
        <v>0.44005008097371</v>
      </c>
      <c r="BB110" s="4" t="str">
        <f>IMSUM(IMPRODUCT(AX110,Z110),IMPRODUCT(AY110,AB110))</f>
        <v>0.578389300858676</v>
      </c>
      <c r="BC110" s="5" t="str">
        <f>IMSUM(IMPRODUCT(AX110,AA110),IMPRODUCT(AY110,AC110))</f>
        <v>177.890007630165i</v>
      </c>
      <c r="BD110" s="5" t="str">
        <f>IMSUM(IMPRODUCT(AZ110,Z110),IMPRODUCT(BA110,AB110))</f>
        <v>5.0875444540708E-003i</v>
      </c>
      <c r="BE110" s="5" t="str">
        <f>IMSUM(IMPRODUCT(AZ110,AA110),IMPRODUCT(BA110,AC110))</f>
        <v>0.164208912760906</v>
      </c>
      <c r="BF110" s="4" t="str">
        <f>IMSUM(IMPRODUCT(BB110,AD110),IMPRODUCT(BC110,AF110))</f>
        <v>0.472813359409647</v>
      </c>
      <c r="BG110" s="5" t="str">
        <f>IMSUM(IMPRODUCT(BB110,AE110),IMPRODUCT(BC110,AG110))</f>
        <v>212.634780873204i</v>
      </c>
      <c r="BH110" s="5" t="str">
        <f>IMSUM(IMPRODUCT(BD110,AD110),IMPRODUCT(BE110,AF110))</f>
        <v>5.08542944650366E-003i</v>
      </c>
      <c r="BI110" s="5" t="str">
        <f>IMSUM(IMPRODUCT(BD110,AE110),IMPRODUCT(BE110,AG110))</f>
        <v>-0.172032313352992</v>
      </c>
      <c r="BJ110" s="4" t="str">
        <f>IMSUM(IMPRODUCT(BF110,AH110),IMPRODUCT(BG110,AJ110))</f>
        <v>0.369147089430417</v>
      </c>
      <c r="BK110" s="5" t="str">
        <f>IMSUM(IMPRODUCT(BF110,AI110),IMPRODUCT(BG110,AK110))</f>
        <v>245.912845066149i</v>
      </c>
      <c r="BL110" s="5" t="str">
        <f>IMSUM(IMPRODUCT(BH110,AH110),IMPRODUCT(BI110,AJ110))</f>
        <v>4.91825690132296E-003i</v>
      </c>
      <c r="BM110" s="5" t="str">
        <f>IMSUM(IMPRODUCT(BH110,AI110),IMPRODUCT(BI110,AK110))</f>
        <v>-0.567422995786691</v>
      </c>
      <c r="BN110" s="4">
        <f t="shared" si="4"/>
        <v>500</v>
      </c>
      <c r="BO110" s="4">
        <v>1</v>
      </c>
      <c r="BP110" s="4" t="str">
        <f>IMSUM(IMPRODUCT($BJ110,$BN110),IMPRODUCT($BK110,$BO110))</f>
        <v>184.573544715209+245.912845066149i</v>
      </c>
      <c r="BQ110" s="4" t="str">
        <f>IMSUM(IMPRODUCT($BL110,$BN110),IMPRODUCT($BM110,$BO110))</f>
        <v>-0.567422995786691+2.45912845066148i</v>
      </c>
      <c r="BR110" s="4" t="str">
        <f>IMDIV($BP110,$BQ110)</f>
        <v>78.5017890478408-93.170108690223i</v>
      </c>
      <c r="BS110" s="4" t="str">
        <f>IMDIV(IMSUB($BQ$100,$BR110),IMSUM($BQ$100,$BR110))</f>
        <v>-0.119456710123492+0.459604995904287i</v>
      </c>
      <c r="BT110" s="4">
        <f>IMABS($BS110)</f>
        <v>0.4748754129808235</v>
      </c>
      <c r="BU110" s="4">
        <f t="shared" si="5"/>
        <v>2.8086199912154637</v>
      </c>
      <c r="BV110" s="4">
        <f t="shared" si="6"/>
        <v>-1.1098231125733125</v>
      </c>
    </row>
    <row r="111" spans="1:74" ht="12.75">
      <c r="A111" s="5">
        <v>8</v>
      </c>
      <c r="B111" s="5">
        <f t="shared" si="1"/>
        <v>1.4000000000000001</v>
      </c>
      <c r="C111" s="4">
        <f t="shared" si="0"/>
        <v>0.21991148575128555</v>
      </c>
      <c r="D111" s="4">
        <f t="shared" si="2"/>
        <v>0.21814324139654256</v>
      </c>
      <c r="E111" s="5">
        <f t="shared" si="3"/>
        <v>0.9759167619387474</v>
      </c>
      <c r="F111" s="9" t="str">
        <f>IF($B$7&gt;0,COMPLEX($E111,0),1)</f>
        <v>0.975916761938747</v>
      </c>
      <c r="G111" s="9" t="str">
        <f>IF($B$7&gt;0,COMPLEX(0,$D111*$B$16),0)</f>
        <v>26.0858561990207i</v>
      </c>
      <c r="H111" s="9" t="str">
        <f>IF($B$7&gt;0,COMPLEX(0,$D111/$B$16),0)</f>
        <v>1.82422510512715E-003i</v>
      </c>
      <c r="I111" s="9" t="str">
        <f>IF($B$7&gt;0,COMPLEX($E111,0),1)</f>
        <v>0.975916761938747</v>
      </c>
      <c r="J111" s="9" t="str">
        <f>IF($B$7&gt;1,COMPLEX($E111,0),1)</f>
        <v>0.975916761938747</v>
      </c>
      <c r="K111" s="9" t="str">
        <f>IF($B$7&gt;1,COMPLEX(0,$D111*$B$17),0)</f>
        <v>31.1938105109119i</v>
      </c>
      <c r="L111" s="9" t="str">
        <f>IF($B$7&gt;1,COMPLEX(0,$D111/$B$17),0)</f>
        <v>1.52551012484813E-003i</v>
      </c>
      <c r="M111" s="9" t="str">
        <f>IF($B$7&gt;1,COMPLEX($E111,0),1)</f>
        <v>0.975916761938747</v>
      </c>
      <c r="N111" s="9" t="str">
        <f>IF($B$7&gt;2,COMPLEX($E111,0),1)</f>
        <v>0.975916761938747</v>
      </c>
      <c r="O111" s="9" t="str">
        <f>IF($B$7&gt;2,COMPLEX(0,$D111*$B$18),0)</f>
        <v>37.3019695718176i</v>
      </c>
      <c r="P111" s="9" t="str">
        <f>IF($B$7&gt;2,COMPLEX(0,$D111/$B$18),0)</f>
        <v>1.27570941462948E-003i</v>
      </c>
      <c r="Q111" s="9" t="str">
        <f>IF($B$7&gt;2,COMPLEX($E111,0),1)</f>
        <v>0.975916761938747</v>
      </c>
      <c r="R111" s="9" t="str">
        <f>IF($B$7&gt;3,COMPLEX($E111,0),1)</f>
        <v>0.975916761938747</v>
      </c>
      <c r="S111" s="9" t="str">
        <f>IF($B$7&gt;3,COMPLEX(0,$D111*$B$19),0)</f>
        <v>44.6061866487926i</v>
      </c>
      <c r="T111" s="9" t="str">
        <f>IF($B$7&gt;3,COMPLEX(0,$D111/$B$19),0)</f>
        <v>1.066813313177E-003i</v>
      </c>
      <c r="U111" s="9" t="str">
        <f>IF($B$7&gt;3,COMPLEX($E111,0),1)</f>
        <v>0.975916761938747</v>
      </c>
      <c r="V111" s="9" t="str">
        <f>IF($B$7&gt;4,COMPLEX($E111,0),1)</f>
        <v>0.975916761938747</v>
      </c>
      <c r="W111" s="9" t="str">
        <f>IF($B$7&gt;4,COMPLEX(0,$D111*$B$20),0)</f>
        <v>53.3406656588501i</v>
      </c>
      <c r="X111" s="9" t="str">
        <f>IF($B$7&gt;4,COMPLEX(0,$D111/$B$20),0)</f>
        <v>8.92123732975852E-004i</v>
      </c>
      <c r="Y111" s="9" t="str">
        <f>IF($B$7&gt;4,COMPLEX($E111,0),1)</f>
        <v>0.975916761938747</v>
      </c>
      <c r="Z111" s="9" t="str">
        <f>IF($B$7&gt;5,COMPLEX($E111,0),1)</f>
        <v>0.975916761938747</v>
      </c>
      <c r="AA111" s="9" t="str">
        <f>IF($B$7&gt;5,COMPLEX(0,$D111*$B$21),0)</f>
        <v>63.7854707314742i</v>
      </c>
      <c r="AB111" s="9" t="str">
        <f>IF($B$7&gt;5,COMPLEX(0,$D111/$B$21),0)</f>
        <v>7.46039391436352E-004i</v>
      </c>
      <c r="AC111" s="9" t="str">
        <f>IF($B$7&gt;5,COMPLEX($E111,0),1)</f>
        <v>0.975916761938747</v>
      </c>
      <c r="AD111" s="9" t="str">
        <f>IF($B$7&gt;6,COMPLEX($E111,0),1)</f>
        <v>0.975916761938747</v>
      </c>
      <c r="AE111" s="9" t="str">
        <f>IF($B$7&gt;6,COMPLEX(0,$D111*$B$22),0)</f>
        <v>76.2755062424066i</v>
      </c>
      <c r="AF111" s="9" t="str">
        <f>IF($B$7&gt;6,COMPLEX(0,$D111/$B$22),0)</f>
        <v>6.23876210218239E-004i</v>
      </c>
      <c r="AG111" s="9" t="str">
        <f>IF($B$7&gt;6,COMPLEX($E111,0),1)</f>
        <v>0.975916761938747</v>
      </c>
      <c r="AH111" s="9" t="str">
        <f>IF($B$7&gt;7,COMPLEX($E111,0),1)</f>
        <v>0.975916761938747</v>
      </c>
      <c r="AI111" s="9" t="str">
        <f>IF($B$7&gt;7,COMPLEX(0,$D111*$B$23),0)</f>
        <v>91.2112552563575i</v>
      </c>
      <c r="AJ111" s="9" t="str">
        <f>IF($B$7&gt;7,COMPLEX(0,$D111/$B$23),0)</f>
        <v>5.21717123980414E-004i</v>
      </c>
      <c r="AK111" s="9" t="str">
        <f>IF($B$7&gt;7,COMPLEX($E111,0),1)</f>
        <v>0.975916761938747</v>
      </c>
      <c r="AL111" s="4" t="str">
        <f>IMSUM(IMPRODUCT(F111,J111),IMPRODUCT(G111,L111))</f>
        <v>0.912619288486071</v>
      </c>
      <c r="AM111" s="5" t="str">
        <f>IMSUM(IMPRODUCT(F111,K111),IMPRODUCT(G111,M111))</f>
        <v>55.9001868604881i</v>
      </c>
      <c r="AN111" s="5" t="str">
        <f>IMSUM(IMPRODUCT(H111,J111),IMPRODUCT(I111,L111))</f>
        <v>3.26906275898962E-003i</v>
      </c>
      <c r="AO111" s="5" t="str">
        <f>IMSUM(IMPRODUCT(H111,K111),IMPRODUCT(I111,M111))</f>
        <v>0.895508993974424</v>
      </c>
      <c r="AP111" s="4" t="str">
        <f>IMSUM(IMPRODUCT(AL111,N111),IMPRODUCT(AM111,P111))</f>
        <v>0.819328066244698</v>
      </c>
      <c r="AQ111" s="5" t="str">
        <f>IMSUM(IMPRODUCT(AL111,O111),IMPRODUCT(AM111,Q111))</f>
        <v>88.5964262824196i</v>
      </c>
      <c r="AR111" s="5" t="str">
        <f>IMSUM(IMPRODUCT(AN111,N111),IMPRODUCT(AO111,P111))</f>
        <v>4.33274239682625E-003i</v>
      </c>
      <c r="AS111" s="5" t="str">
        <f>IMSUM(IMPRODUCT(AN111,O111),IMPRODUCT(AO111,Q111))</f>
        <v>0.751999758122352</v>
      </c>
      <c r="AT111" s="4" t="str">
        <f>IMSUM(IMPRODUCT(AP111,R111),IMPRODUCT(AQ111,T111))</f>
        <v>0.705080146317071</v>
      </c>
      <c r="AU111" s="5" t="str">
        <f>IMSUM(IMPRODUCT(AP111,S111),IMPRODUCT(AQ111,U111))</f>
        <v>123.009838106389i</v>
      </c>
      <c r="AV111" s="5" t="str">
        <f>IMSUM(IMPRODUCT(AR111,R111),IMPRODUCT(AS111,T111))</f>
        <v>5.03063928369621E-003i</v>
      </c>
      <c r="AW111" s="5" t="str">
        <f>IMSUM(IMPRODUCT(AR111,S111),IMPRODUCT(AS111,U111))</f>
        <v>0.540622052871518</v>
      </c>
      <c r="AX111" s="4" t="str">
        <f>IMSUM(IMPRODUCT(AT111,V111),IMPRODUCT(AU111,X111))</f>
        <v>0.578359537336827</v>
      </c>
      <c r="AY111" s="5" t="str">
        <f>IMSUM(IMPRODUCT(AT111,W111),IMPRODUCT(AU111,Y111))</f>
        <v>157.656807238789i</v>
      </c>
      <c r="AZ111" s="5" t="str">
        <f>IMSUM(IMPRODUCT(AV111,V111),IMPRODUCT(AW111,X111))</f>
        <v>5.39178696416347E-003i</v>
      </c>
      <c r="BA111" s="5" t="str">
        <f>IMSUM(IMPRODUCT(AV111,W111),IMPRODUCT(AW111,Y111))</f>
        <v>0.259264475189133</v>
      </c>
      <c r="BB111" s="4" t="str">
        <f>IMSUM(IMPRODUCT(AX111,Z111),IMPRODUCT(AY111,AB111))</f>
        <v>0.446812578385924</v>
      </c>
      <c r="BC111" s="5" t="str">
        <f>IMSUM(IMPRODUCT(AX111,AA111),IMPRODUCT(AY111,AC111))</f>
        <v>190.750856159147i</v>
      </c>
      <c r="BD111" s="5" t="str">
        <f>IMSUM(IMPRODUCT(AZ111,Z111),IMPRODUCT(BA111,AB111))</f>
        <v>5.45535678642113E-003i</v>
      </c>
      <c r="BE111" s="5" t="str">
        <f>IMSUM(IMPRODUCT(AZ111,AA111),IMPRODUCT(BA111,AC111))</f>
        <v>-9.0897122480666E-002</v>
      </c>
      <c r="BF111" s="4" t="str">
        <f>IMSUM(IMPRODUCT(BB111,AD111),IMPRODUCT(BC111,AF111))</f>
        <v>0.31704696345544</v>
      </c>
      <c r="BG111" s="5" t="str">
        <f>IMSUM(IMPRODUCT(BB111,AE111),IMPRODUCT(BC111,AG111))</f>
        <v>220.237813491739i</v>
      </c>
      <c r="BH111" s="5" t="str">
        <f>IMSUM(IMPRODUCT(BD111,AD111),IMPRODUCT(BE111,AF111))</f>
        <v>5.2672655779317E-003i</v>
      </c>
      <c r="BI111" s="5" t="str">
        <f>IMSUM(IMPRODUCT(BD111,AE111),IMPRODUCT(BE111,AG111))</f>
        <v>-0.504818126058101</v>
      </c>
      <c r="BJ111" s="4" t="str">
        <f>IMSUM(IMPRODUCT(BF111,AH111),IMPRODUCT(BG111,AJ111))</f>
        <v>0.1945096073113</v>
      </c>
      <c r="BK111" s="5" t="str">
        <f>IMSUM(IMPRODUCT(BF111,AI111),IMPRODUCT(BG111,AK111))</f>
        <v>243.852025311315i</v>
      </c>
      <c r="BL111" s="5" t="str">
        <f>IMSUM(IMPRODUCT(BH111,AH111),IMPRODUCT(BI111,AJ111))</f>
        <v>4.87704050622632E-003i</v>
      </c>
      <c r="BM111" s="5" t="str">
        <f>IMSUM(IMPRODUCT(BH111,AI111),IMPRODUCT(BI111,AK111))</f>
        <v>-0.973094376082362</v>
      </c>
      <c r="BN111" s="4">
        <f t="shared" si="4"/>
        <v>500</v>
      </c>
      <c r="BO111" s="4">
        <v>1</v>
      </c>
      <c r="BP111" s="4" t="str">
        <f>IMSUM(IMPRODUCT($BJ111,$BN111),IMPRODUCT($BK111,$BO111))</f>
        <v>97.25480365565+243.852025311315i</v>
      </c>
      <c r="BQ111" s="4" t="str">
        <f>IMSUM(IMPRODUCT($BL111,$BN111),IMPRODUCT($BM111,$BO111))</f>
        <v>-0.973094376082362+2.43852025311316i</v>
      </c>
      <c r="BR111" s="4" t="str">
        <f>IMDIV($BP111,$BQ111)</f>
        <v>72.5342662759175-68.8275974036855i</v>
      </c>
      <c r="BS111" s="4" t="str">
        <f>IMDIV(IMSUB($BQ$100,$BR111),IMSUM($BQ$100,$BR111))</f>
        <v>4.46902635188739E-005+0.39893914880118i</v>
      </c>
      <c r="BT111" s="4">
        <f>IMABS($BS111)</f>
        <v>0.39893915130434326</v>
      </c>
      <c r="BU111" s="4">
        <f t="shared" si="5"/>
        <v>2.3274501314469855</v>
      </c>
      <c r="BV111" s="4">
        <f t="shared" si="6"/>
        <v>-0.7528273505876817</v>
      </c>
    </row>
    <row r="112" spans="1:74" ht="12.75">
      <c r="A112" s="5">
        <v>9</v>
      </c>
      <c r="B112" s="5">
        <f t="shared" si="1"/>
        <v>1.6</v>
      </c>
      <c r="C112" s="4">
        <f t="shared" si="0"/>
        <v>0.25132741228718347</v>
      </c>
      <c r="D112" s="4">
        <f t="shared" si="2"/>
        <v>0.2486898871648548</v>
      </c>
      <c r="E112" s="5">
        <f t="shared" si="3"/>
        <v>0.9685831611286311</v>
      </c>
      <c r="F112" s="9" t="str">
        <f>IF($B$7&gt;0,COMPLEX($E112,0),1)</f>
        <v>0.968583161128631</v>
      </c>
      <c r="G112" s="9" t="str">
        <f>IF($B$7&gt;0,COMPLEX(0,$D112*$B$16),0)</f>
        <v>29.7386643436752i</v>
      </c>
      <c r="H112" s="9" t="str">
        <f>IF($B$7&gt;0,COMPLEX(0,$D112/$B$16),0)</f>
        <v>2.07967174528542E-003i</v>
      </c>
      <c r="I112" s="9" t="str">
        <f>IF($B$7&gt;0,COMPLEX($E112,0),1)</f>
        <v>0.968583161128631</v>
      </c>
      <c r="J112" s="9" t="str">
        <f>IF($B$7&gt;1,COMPLEX($E112,0),1)</f>
        <v>0.968583161128631</v>
      </c>
      <c r="K112" s="9" t="str">
        <f>IF($B$7&gt;1,COMPLEX(0,$D112*$B$17),0)</f>
        <v>35.5618866142121i</v>
      </c>
      <c r="L112" s="9" t="str">
        <f>IF($B$7&gt;1,COMPLEX(0,$D112/$B$17),0)</f>
        <v>1.73912764103329E-003i</v>
      </c>
      <c r="M112" s="9" t="str">
        <f>IF($B$7&gt;1,COMPLEX($E112,0),1)</f>
        <v>0.968583161128631</v>
      </c>
      <c r="N112" s="9" t="str">
        <f>IF($B$7&gt;2,COMPLEX($E112,0),1)</f>
        <v>0.968583161128631</v>
      </c>
      <c r="O112" s="9" t="str">
        <f>IF($B$7&gt;2,COMPLEX(0,$D112*$B$18),0)</f>
        <v>42.5253725233644i</v>
      </c>
      <c r="P112" s="9" t="str">
        <f>IF($B$7&gt;2,COMPLEX(0,$D112/$B$18),0)</f>
        <v>1.45434728276838E-003i</v>
      </c>
      <c r="Q112" s="9" t="str">
        <f>IF($B$7&gt;2,COMPLEX($E112,0),1)</f>
        <v>0.968583161128631</v>
      </c>
      <c r="R112" s="9" t="str">
        <f>IF($B$7&gt;3,COMPLEX($E112,0),1)</f>
        <v>0.968583161128631</v>
      </c>
      <c r="S112" s="9" t="str">
        <f>IF($B$7&gt;3,COMPLEX(0,$D112*$B$19),0)</f>
        <v>50.8524007139765i</v>
      </c>
      <c r="T112" s="9" t="str">
        <f>IF($B$7&gt;3,COMPLEX(0,$D112/$B$19),0)</f>
        <v>1.21619941457493E-003i</v>
      </c>
      <c r="U112" s="9" t="str">
        <f>IF($B$7&gt;3,COMPLEX($E112,0),1)</f>
        <v>0.968583161128631</v>
      </c>
      <c r="V112" s="9" t="str">
        <f>IF($B$7&gt;4,COMPLEX($E112,0),1)</f>
        <v>0.968583161128631</v>
      </c>
      <c r="W112" s="9" t="str">
        <f>IF($B$7&gt;4,COMPLEX(0,$D112*$B$20),0)</f>
        <v>60.8099707287467i</v>
      </c>
      <c r="X112" s="9" t="str">
        <f>IF($B$7&gt;4,COMPLEX(0,$D112/$B$20),0)</f>
        <v>1.01704801427953E-003i</v>
      </c>
      <c r="Y112" s="9" t="str">
        <f>IF($B$7&gt;4,COMPLEX($E112,0),1)</f>
        <v>0.968583161128631</v>
      </c>
      <c r="Z112" s="9" t="str">
        <f>IF($B$7&gt;5,COMPLEX($E112,0),1)</f>
        <v>0.968583161128631</v>
      </c>
      <c r="AA112" s="9" t="str">
        <f>IF($B$7&gt;5,COMPLEX(0,$D112*$B$21),0)</f>
        <v>72.7173641384191i</v>
      </c>
      <c r="AB112" s="9" t="str">
        <f>IF($B$7&gt;5,COMPLEX(0,$D112/$B$21),0)</f>
        <v>8.50507450467287E-004i</v>
      </c>
      <c r="AC112" s="9" t="str">
        <f>IF($B$7&gt;5,COMPLEX($E112,0),1)</f>
        <v>0.968583161128631</v>
      </c>
      <c r="AD112" s="9" t="str">
        <f>IF($B$7&gt;6,COMPLEX($E112,0),1)</f>
        <v>0.968583161128631</v>
      </c>
      <c r="AE112" s="9" t="str">
        <f>IF($B$7&gt;6,COMPLEX(0,$D112*$B$22),0)</f>
        <v>86.9563820516647i</v>
      </c>
      <c r="AF112" s="9" t="str">
        <f>IF($B$7&gt;6,COMPLEX(0,$D112/$B$22),0)</f>
        <v>7.11237732284243E-004i</v>
      </c>
      <c r="AG112" s="9" t="str">
        <f>IF($B$7&gt;6,COMPLEX($E112,0),1)</f>
        <v>0.968583161128631</v>
      </c>
      <c r="AH112" s="9" t="str">
        <f>IF($B$7&gt;7,COMPLEX($E112,0),1)</f>
        <v>0.968583161128631</v>
      </c>
      <c r="AI112" s="9" t="str">
        <f>IF($B$7&gt;7,COMPLEX(0,$D112*$B$23),0)</f>
        <v>103.983587264271i</v>
      </c>
      <c r="AJ112" s="9" t="str">
        <f>IF($B$7&gt;7,COMPLEX(0,$D112/$B$23),0)</f>
        <v>5.94773286873504E-004i</v>
      </c>
      <c r="AK112" s="9" t="str">
        <f>IF($B$7&gt;7,COMPLEX($E112,0),1)</f>
        <v>0.968583161128631</v>
      </c>
      <c r="AL112" s="4" t="str">
        <f>IMSUM(IMPRODUCT(F112,J112),IMPRODUCT(G112,L112))</f>
        <v>0.886434006854435</v>
      </c>
      <c r="AM112" s="5" t="str">
        <f>IMSUM(IMPRODUCT(F112,K112),IMPRODUCT(G112,M112))</f>
        <v>63.2490140702317i</v>
      </c>
      <c r="AN112" s="5" t="str">
        <f>IMSUM(IMPRODUCT(H112,J112),IMPRODUCT(I112,L112))</f>
        <v>3.69882478131665E-003i</v>
      </c>
      <c r="AO112" s="5" t="str">
        <f>IMSUM(IMPRODUCT(H112,K112),IMPRODUCT(I112,M112))</f>
        <v>0.864196289221311</v>
      </c>
      <c r="AP112" s="4" t="str">
        <f>IMSUM(IMPRODUCT(AL112,N112),IMPRODUCT(AM112,P112))</f>
        <v>0.766599020740167</v>
      </c>
      <c r="AQ112" s="5" t="str">
        <f>IMSUM(IMPRODUCT(AL112,O112),IMPRODUCT(AM112,Q112))</f>
        <v>98.9578663452777i</v>
      </c>
      <c r="AR112" s="5" t="str">
        <f>IMSUM(IMPRODUCT(AN112,N112),IMPRODUCT(AO112,P112))</f>
        <v>4.83946092415613E-003i</v>
      </c>
      <c r="AS112" s="5" t="str">
        <f>IMSUM(IMPRODUCT(AN112,O112),IMPRODUCT(AO112,Q112))</f>
        <v>0.679752071925468</v>
      </c>
      <c r="AT112" s="4" t="str">
        <f>IMSUM(IMPRODUCT(AP112,R112),IMPRODUCT(AQ112,T112))</f>
        <v>0.622162403709913</v>
      </c>
      <c r="AU112" s="5" t="str">
        <f>IMSUM(IMPRODUCT(AP112,S112),IMPRODUCT(AQ112,U112))</f>
        <v>134.832323592875i</v>
      </c>
      <c r="AV112" s="5" t="str">
        <f>IMSUM(IMPRODUCT(AR112,R112),IMPRODUCT(AS112,T112))</f>
        <v>5.51413443200948E-003i</v>
      </c>
      <c r="AW112" s="5" t="str">
        <f>IMSUM(IMPRODUCT(AR112,S112),IMPRODUCT(AS112,U112))</f>
        <v>0.412298204454487</v>
      </c>
      <c r="AX112" s="4" t="str">
        <f>IMSUM(IMPRODUCT(AT112,V112),IMPRODUCT(AU112,X112))</f>
        <v>0.465485080749906</v>
      </c>
      <c r="AY112" s="5" t="str">
        <f>IMSUM(IMPRODUCT(AT112,W112),IMPRODUCT(AU112,Y112))</f>
        <v>168.429995766032i</v>
      </c>
      <c r="AZ112" s="5" t="str">
        <f>IMSUM(IMPRODUCT(AV112,V112),IMPRODUCT(AW112,X112))</f>
        <v>5.76022482917542E-003i</v>
      </c>
      <c r="BA112" s="5" t="str">
        <f>IMSUM(IMPRODUCT(AV112,W112),IMPRODUCT(AW112,Y112))</f>
        <v>6.4030744793315E-002</v>
      </c>
      <c r="BB112" s="4" t="str">
        <f>IMSUM(IMPRODUCT(AX112,Z112),IMPRODUCT(AY112,AB112))</f>
        <v>0.307610044689776</v>
      </c>
      <c r="BC112" s="5" t="str">
        <f>IMSUM(IMPRODUCT(AX112,AA112),IMPRODUCT(AY112,AC112))</f>
        <v>196.987305845837i</v>
      </c>
      <c r="BD112" s="5" t="str">
        <f>IMSUM(IMPRODUCT(AZ112,Z112),IMPRODUCT(BA112,AB112))</f>
        <v>5.63371539936004E-003i</v>
      </c>
      <c r="BE112" s="5" t="str">
        <f>IMSUM(IMPRODUCT(AZ112,AA112),IMPRODUCT(BA112,AC112))</f>
        <v>-0.356849265220982</v>
      </c>
      <c r="BF112" s="4" t="str">
        <f>IMSUM(IMPRODUCT(BB112,AD112),IMPRODUCT(BC112,AF112))</f>
        <v>0.157841104781967</v>
      </c>
      <c r="BG112" s="5" t="str">
        <f>IMSUM(IMPRODUCT(BB112,AE112),IMPRODUCT(BC112,AG112))</f>
        <v>217.547243967347i</v>
      </c>
      <c r="BH112" s="5" t="str">
        <f>IMSUM(IMPRODUCT(BD112,AD112),IMPRODUCT(BE112,AF112))</f>
        <v>5.20291720824812E-003i</v>
      </c>
      <c r="BI112" s="5" t="str">
        <f>IMSUM(IMPRODUCT(BD112,AE112),IMPRODUCT(BE112,AG112))</f>
        <v>-0.835525697991266</v>
      </c>
      <c r="BJ112" s="4" t="str">
        <f>IMSUM(IMPRODUCT(BF112,AH112),IMPRODUCT(BG112,AJ112))</f>
        <v>2.3490946881022E-002</v>
      </c>
      <c r="BK112" s="5" t="str">
        <f>IMSUM(IMPRODUCT(BF112,AI112),IMPRODUCT(BG112,AK112))</f>
        <v>227.125481549699i</v>
      </c>
      <c r="BL112" s="5" t="str">
        <f>IMSUM(IMPRODUCT(BH112,AH112),IMPRODUCT(BI112,AJ112))</f>
        <v>4.54250963099398E-003i</v>
      </c>
      <c r="BM112" s="5" t="str">
        <f>IMSUM(IMPRODUCT(BH112,AI112),IMPRODUCT(BI112,AK112))</f>
        <v>-1.35029411731723</v>
      </c>
      <c r="BN112" s="4">
        <f t="shared" si="4"/>
        <v>500</v>
      </c>
      <c r="BO112" s="4">
        <v>1</v>
      </c>
      <c r="BP112" s="4" t="str">
        <f>IMSUM(IMPRODUCT($BJ112,$BN112),IMPRODUCT($BK112,$BO112))</f>
        <v>11.745473440511+227.125481549699i</v>
      </c>
      <c r="BQ112" s="4" t="str">
        <f>IMSUM(IMPRODUCT($BL112,$BN112),IMPRODUCT($BM112,$BO112))</f>
        <v>-1.35029411731723+2.27125481549699i</v>
      </c>
      <c r="BR112" s="4" t="str">
        <f>IMDIV($BP112,$BQ112)</f>
        <v>71.6138195999422-47.7468190821207i</v>
      </c>
      <c r="BS112" s="4" t="str">
        <f>IMDIV(IMSUB($BQ$100,$BR112),IMSUM($BQ$100,$BR112))</f>
        <v>8.16771315549793E-002+0.300946872612119i</v>
      </c>
      <c r="BT112" s="4">
        <f>IMABS($BS112)</f>
        <v>0.3118335677153189</v>
      </c>
      <c r="BU112" s="4">
        <f t="shared" si="5"/>
        <v>1.9062736951003136</v>
      </c>
      <c r="BV112" s="4">
        <f t="shared" si="6"/>
        <v>-0.44427775817995874</v>
      </c>
    </row>
    <row r="113" spans="1:74" ht="12.75">
      <c r="A113" s="5">
        <v>10</v>
      </c>
      <c r="B113" s="5">
        <f t="shared" si="1"/>
        <v>1.8</v>
      </c>
      <c r="C113" s="4">
        <f t="shared" si="0"/>
        <v>0.2827433388230814</v>
      </c>
      <c r="D113" s="4">
        <f t="shared" si="2"/>
        <v>0.2789911060392293</v>
      </c>
      <c r="E113" s="5">
        <f t="shared" si="3"/>
        <v>0.9602936856769431</v>
      </c>
      <c r="F113" s="9" t="str">
        <f>IF($B$7&gt;0,COMPLEX($E113,0),1)</f>
        <v>0.960293685676943</v>
      </c>
      <c r="G113" s="9" t="str">
        <f>IF($B$7&gt;0,COMPLEX(0,$D113*$B$16),0)</f>
        <v>33.3621240170149i</v>
      </c>
      <c r="H113" s="9" t="str">
        <f>IF($B$7&gt;0,COMPLEX(0,$D113/$B$16),0)</f>
        <v>2.3330660005129E-003i</v>
      </c>
      <c r="I113" s="9" t="str">
        <f>IF($B$7&gt;0,COMPLEX($E113,0),1)</f>
        <v>0.960293685676943</v>
      </c>
      <c r="J113" s="9" t="str">
        <f>IF($B$7&gt;1,COMPLEX($E113,0),1)</f>
        <v>0.960293685676943</v>
      </c>
      <c r="K113" s="9" t="str">
        <f>IF($B$7&gt;1,COMPLEX(0,$D113*$B$17),0)</f>
        <v>39.8948674288627i</v>
      </c>
      <c r="L113" s="9" t="str">
        <f>IF($B$7&gt;1,COMPLEX(0,$D113/$B$17),0)</f>
        <v>1.95102884820418E-003i</v>
      </c>
      <c r="M113" s="9" t="str">
        <f>IF($B$7&gt;1,COMPLEX($E113,0),1)</f>
        <v>0.960293685676943</v>
      </c>
      <c r="N113" s="9" t="str">
        <f>IF($B$7&gt;2,COMPLEX($E113,0),1)</f>
        <v>0.960293685676943</v>
      </c>
      <c r="O113" s="9" t="str">
        <f>IF($B$7&gt;2,COMPLEX(0,$D113*$B$18),0)</f>
        <v>47.706808066381i</v>
      </c>
      <c r="P113" s="9" t="str">
        <f>IF($B$7&gt;2,COMPLEX(0,$D113/$B$18),0)</f>
        <v>1.63154988572467E-003i</v>
      </c>
      <c r="Q113" s="9" t="str">
        <f>IF($B$7&gt;2,COMPLEX($E113,0),1)</f>
        <v>0.960293685676943</v>
      </c>
      <c r="R113" s="9" t="str">
        <f>IF($B$7&gt;3,COMPLEX($E113,0),1)</f>
        <v>0.960293685676943</v>
      </c>
      <c r="S113" s="9" t="str">
        <f>IF($B$7&gt;3,COMPLEX(0,$D113*$B$19),0)</f>
        <v>57.0484295991404i</v>
      </c>
      <c r="T113" s="9" t="str">
        <f>IF($B$7&gt;3,COMPLEX(0,$D113/$B$19),0)</f>
        <v>1.36438527398422E-003i</v>
      </c>
      <c r="U113" s="9" t="str">
        <f>IF($B$7&gt;3,COMPLEX($E113,0),1)</f>
        <v>0.960293685676943</v>
      </c>
      <c r="V113" s="9" t="str">
        <f>IF($B$7&gt;4,COMPLEX($E113,0),1)</f>
        <v>0.960293685676943</v>
      </c>
      <c r="W113" s="9" t="str">
        <f>IF($B$7&gt;4,COMPLEX(0,$D113*$B$20),0)</f>
        <v>68.2192636992108i</v>
      </c>
      <c r="X113" s="9" t="str">
        <f>IF($B$7&gt;4,COMPLEX(0,$D113/$B$20),0)</f>
        <v>1.14096859198281E-003i</v>
      </c>
      <c r="Y113" s="9" t="str">
        <f>IF($B$7&gt;4,COMPLEX($E113,0),1)</f>
        <v>0.960293685676943</v>
      </c>
      <c r="Z113" s="9" t="str">
        <f>IF($B$7&gt;5,COMPLEX($E113,0),1)</f>
        <v>0.960293685676943</v>
      </c>
      <c r="AA113" s="9" t="str">
        <f>IF($B$7&gt;5,COMPLEX(0,$D113*$B$21),0)</f>
        <v>81.5774942862333i</v>
      </c>
      <c r="AB113" s="9" t="str">
        <f>IF($B$7&gt;5,COMPLEX(0,$D113/$B$21),0)</f>
        <v>9.5413616132762E-004i</v>
      </c>
      <c r="AC113" s="9" t="str">
        <f>IF($B$7&gt;5,COMPLEX($E113,0),1)</f>
        <v>0.960293685676943</v>
      </c>
      <c r="AD113" s="9" t="str">
        <f>IF($B$7&gt;6,COMPLEX($E113,0),1)</f>
        <v>0.960293685676943</v>
      </c>
      <c r="AE113" s="9" t="str">
        <f>IF($B$7&gt;6,COMPLEX(0,$D113*$B$22),0)</f>
        <v>97.551442410209i</v>
      </c>
      <c r="AF113" s="9" t="str">
        <f>IF($B$7&gt;6,COMPLEX(0,$D113/$B$22),0)</f>
        <v>7.97897348577254E-004i</v>
      </c>
      <c r="AG113" s="9" t="str">
        <f>IF($B$7&gt;6,COMPLEX($E113,0),1)</f>
        <v>0.960293685676943</v>
      </c>
      <c r="AH113" s="9" t="str">
        <f>IF($B$7&gt;7,COMPLEX($E113,0),1)</f>
        <v>0.960293685676943</v>
      </c>
      <c r="AI113" s="9" t="str">
        <f>IF($B$7&gt;7,COMPLEX(0,$D113*$B$23),0)</f>
        <v>116.653300025645i</v>
      </c>
      <c r="AJ113" s="9" t="str">
        <f>IF($B$7&gt;7,COMPLEX(0,$D113/$B$23),0)</f>
        <v>6.67242480340298E-004i</v>
      </c>
      <c r="AK113" s="9" t="str">
        <f>IF($B$7&gt;7,COMPLEX($E113,0),1)</f>
        <v>0.960293685676943</v>
      </c>
      <c r="AL113" s="4" t="str">
        <f>IMSUM(IMPRODUCT(F113,J113),IMPRODUCT(G113,L113))</f>
        <v>0.857073496356445</v>
      </c>
      <c r="AM113" s="5" t="str">
        <f>IMSUM(IMPRODUCT(F113,K113),IMPRODUCT(G113,M113))</f>
        <v>70.3482263171661i</v>
      </c>
      <c r="AN113" s="5" t="str">
        <f>IMSUM(IMPRODUCT(H113,J113),IMPRODUCT(I113,L113))</f>
        <v>4.11398923206413E-003i</v>
      </c>
      <c r="AO113" s="5" t="str">
        <f>IMSUM(IMPRODUCT(H113,K113),IMPRODUCT(I113,M113))</f>
        <v>0.829086603957758</v>
      </c>
      <c r="AP113" s="4" t="str">
        <f>IMSUM(IMPRODUCT(AL113,N113),IMPRODUCT(AM113,P113))</f>
        <v>0.708265626103449</v>
      </c>
      <c r="AQ113" s="5" t="str">
        <f>IMSUM(IMPRODUCT(AL113,O113),IMPRODUCT(AM113,Q113))</f>
        <v>108.443198320406i</v>
      </c>
      <c r="AR113" s="5" t="str">
        <f>IMSUM(IMPRODUCT(AN113,N113),IMPRODUCT(AO113,P113))</f>
        <v>5.30333403643725E-003i</v>
      </c>
      <c r="AS113" s="5" t="str">
        <f>IMSUM(IMPRODUCT(AN113,O113),IMPRODUCT(AO113,Q113))</f>
        <v>0.599901335978733</v>
      </c>
      <c r="AT113" s="4" t="str">
        <f>IMSUM(IMPRODUCT(AP113,R113),IMPRODUCT(AQ113,T113))</f>
        <v>0.532184705677057</v>
      </c>
      <c r="AU113" s="5" t="str">
        <f>IMSUM(IMPRODUCT(AP113,S113),IMPRODUCT(AQ113,U113))</f>
        <v>144.542760309952i</v>
      </c>
      <c r="AV113" s="5" t="str">
        <f>IMSUM(IMPRODUCT(AR113,R113),IMPRODUCT(AS113,T113))</f>
        <v>5.91125473687915E-003i</v>
      </c>
      <c r="AW113" s="5" t="str">
        <f>IMSUM(IMPRODUCT(AR113,S113),IMPRODUCT(AS113,U113))</f>
        <v>0.273534586551123</v>
      </c>
      <c r="AX113" s="4" t="str">
        <f>IMSUM(IMPRODUCT(AT113,V113),IMPRODUCT(AU113,X113))</f>
        <v>0.346134862763365</v>
      </c>
      <c r="AY113" s="5" t="str">
        <f>IMSUM(IMPRODUCT(AT113,W113),IMPRODUCT(AU113,Y113))</f>
        <v>175.108748809233i</v>
      </c>
      <c r="AZ113" s="5" t="str">
        <f>IMSUM(IMPRODUCT(AV113,V113),IMPRODUCT(AW113,X113))</f>
        <v>5.9886349703288E-003i</v>
      </c>
      <c r="BA113" s="5" t="str">
        <f>IMSUM(IMPRODUCT(AV113,W113),IMPRODUCT(AW113,Y113))</f>
        <v>-0.140587909409071</v>
      </c>
      <c r="BB113" s="4" t="str">
        <f>IMSUM(IMPRODUCT(AX113,Z113),IMPRODUCT(AY113,AB113))</f>
        <v>0.165313533700591</v>
      </c>
      <c r="BC113" s="5" t="str">
        <f>IMSUM(IMPRODUCT(AX113,AA113),IMPRODUCT(AY113,AC113))</f>
        <v>196.392640577641i</v>
      </c>
      <c r="BD113" s="5" t="str">
        <f>IMSUM(IMPRODUCT(AZ113,Z113),IMPRODUCT(BA113,AB113))</f>
        <v>5.61670833961822E-003i</v>
      </c>
      <c r="BE113" s="5" t="str">
        <f>IMSUM(IMPRODUCT(AZ113,AA113),IMPRODUCT(BA113,AC113))</f>
        <v>-0.623543516762388</v>
      </c>
      <c r="BF113" s="4" t="str">
        <f>IMSUM(IMPRODUCT(BB113,AD113),IMPRODUCT(BC113,AF113))</f>
        <v>2.04837537263503E-003</v>
      </c>
      <c r="BG113" s="5" t="str">
        <f>IMSUM(IMPRODUCT(BB113,AE113),IMPRODUCT(BC113,AG113))</f>
        <v>204.721186322551i</v>
      </c>
      <c r="BH113" s="5" t="str">
        <f>IMSUM(IMPRODUCT(BD113,AD113),IMPRODUCT(BE113,AF113))</f>
        <v>4.89616583407715E-003i</v>
      </c>
      <c r="BI113" s="5" t="str">
        <f>IMSUM(IMPRODUCT(BD113,AE113),IMPRODUCT(BE113,AG113))</f>
        <v>-1.14670290201892</v>
      </c>
      <c r="BJ113" s="4" t="str">
        <f>IMSUM(IMPRODUCT(BF113,AH113),IMPRODUCT(BG113,AJ113))</f>
        <v>-0.134631630203829</v>
      </c>
      <c r="BK113" s="5" t="str">
        <f>IMSUM(IMPRODUCT(BF113,AI113),IMPRODUCT(BG113,AK113))</f>
        <v>196.831412296748i</v>
      </c>
      <c r="BL113" s="5" t="str">
        <f>IMSUM(IMPRODUCT(BH113,AH113),IMPRODUCT(BI113,AJ113))</f>
        <v>3.93662824593495E-003i</v>
      </c>
      <c r="BM113" s="5" t="str">
        <f>IMSUM(IMPRODUCT(BH113,AI113),IMPRODUCT(BI113,AK113))</f>
        <v>-1.67232545817411</v>
      </c>
      <c r="BN113" s="4">
        <f t="shared" si="4"/>
        <v>500</v>
      </c>
      <c r="BO113" s="4">
        <v>1</v>
      </c>
      <c r="BP113" s="4" t="str">
        <f>IMSUM(IMPRODUCT($BJ113,$BN113),IMPRODUCT($BK113,$BO113))</f>
        <v>-67.3158151019145+196.831412296748i</v>
      </c>
      <c r="BQ113" s="4" t="str">
        <f>IMSUM(IMPRODUCT($BL113,$BN113),IMPRODUCT($BM113,$BO113))</f>
        <v>-1.67232545817411+1.96831412296747i</v>
      </c>
      <c r="BR113" s="4" t="str">
        <f>IMDIV($BP113,$BQ113)</f>
        <v>74.9520352912555-29.4812606283248i</v>
      </c>
      <c r="BS113" s="4" t="str">
        <f>IMDIV(IMSUB($BQ$100,$BR113),IMSUM($BQ$100,$BR113))</f>
        <v>0.111605539555117+0.187317241396802i</v>
      </c>
      <c r="BT113" s="4">
        <f>IMABS($BS113)</f>
        <v>0.21804482425385974</v>
      </c>
      <c r="BU113" s="4">
        <f t="shared" si="5"/>
        <v>1.5576913639475607</v>
      </c>
      <c r="BV113" s="4">
        <f t="shared" si="6"/>
        <v>-0.2115487072031183</v>
      </c>
    </row>
    <row r="114" spans="1:74" ht="12.75">
      <c r="A114" s="5">
        <v>11</v>
      </c>
      <c r="B114" s="5">
        <f t="shared" si="1"/>
        <v>2</v>
      </c>
      <c r="C114" s="4">
        <f t="shared" si="0"/>
        <v>0.3141592653589793</v>
      </c>
      <c r="D114" s="4">
        <f t="shared" si="2"/>
        <v>0.30901699437494745</v>
      </c>
      <c r="E114" s="5">
        <f t="shared" si="3"/>
        <v>0.9510565162951536</v>
      </c>
      <c r="F114" s="9" t="str">
        <f>IF($B$7&gt;0,COMPLEX($E114,0),1)</f>
        <v>0.951056516295154</v>
      </c>
      <c r="G114" s="9" t="str">
        <f>IF($B$7&gt;0,COMPLEX(0,$D114*$B$16),0)</f>
        <v>36.9526593018079i</v>
      </c>
      <c r="H114" s="9" t="str">
        <f>IF($B$7&gt;0,COMPLEX(0,$D114/$B$16),0)</f>
        <v>2.58415780127236E-003i</v>
      </c>
      <c r="I114" s="9" t="str">
        <f>IF($B$7&gt;0,COMPLEX($E114,0),1)</f>
        <v>0.951056516295154</v>
      </c>
      <c r="J114" s="9" t="str">
        <f>IF($B$7&gt;1,COMPLEX($E114,0),1)</f>
        <v>0.951056516295154</v>
      </c>
      <c r="K114" s="9" t="str">
        <f>IF($B$7&gt;1,COMPLEX(0,$D114*$B$17),0)</f>
        <v>44.1884768259267i</v>
      </c>
      <c r="L114" s="9" t="str">
        <f>IF($B$7&gt;1,COMPLEX(0,$D114/$B$17),0)</f>
        <v>2.16100462545246E-003i</v>
      </c>
      <c r="M114" s="9" t="str">
        <f>IF($B$7&gt;1,COMPLEX($E114,0),1)</f>
        <v>0.951056516295154</v>
      </c>
      <c r="N114" s="9" t="str">
        <f>IF($B$7&gt;2,COMPLEX($E114,0),1)</f>
        <v>0.951056516295154</v>
      </c>
      <c r="O114" s="9" t="str">
        <f>IF($B$7&gt;2,COMPLEX(0,$D114*$B$18),0)</f>
        <v>52.8411627495488i</v>
      </c>
      <c r="P114" s="9" t="str">
        <f>IF($B$7&gt;2,COMPLEX(0,$D114/$B$18),0)</f>
        <v>1.80714234592314E-003i</v>
      </c>
      <c r="Q114" s="9" t="str">
        <f>IF($B$7&gt;2,COMPLEX($E114,0),1)</f>
        <v>0.951056516295154</v>
      </c>
      <c r="R114" s="9" t="str">
        <f>IF($B$7&gt;3,COMPLEX($E114,0),1)</f>
        <v>0.951056516295154</v>
      </c>
      <c r="S114" s="9" t="str">
        <f>IF($B$7&gt;3,COMPLEX(0,$D114*$B$19),0)</f>
        <v>63.1881585718304i</v>
      </c>
      <c r="T114" s="9" t="str">
        <f>IF($B$7&gt;3,COMPLEX(0,$D114/$B$19),0)</f>
        <v>1.51122464985231E-003i</v>
      </c>
      <c r="U114" s="9" t="str">
        <f>IF($B$7&gt;3,COMPLEX($E114,0),1)</f>
        <v>0.951056516295154</v>
      </c>
      <c r="V114" s="9" t="str">
        <f>IF($B$7&gt;4,COMPLEX($E114,0),1)</f>
        <v>0.951056516295154</v>
      </c>
      <c r="W114" s="9" t="str">
        <f>IF($B$7&gt;4,COMPLEX(0,$D114*$B$20),0)</f>
        <v>75.5612324926153i</v>
      </c>
      <c r="X114" s="9" t="str">
        <f>IF($B$7&gt;4,COMPLEX(0,$D114/$B$20),0)</f>
        <v>1.26376317143661E-003i</v>
      </c>
      <c r="Y114" s="9" t="str">
        <f>IF($B$7&gt;4,COMPLEX($E114,0),1)</f>
        <v>0.951056516295154</v>
      </c>
      <c r="Z114" s="9" t="str">
        <f>IF($B$7&gt;5,COMPLEX($E114,0),1)</f>
        <v>0.951056516295154</v>
      </c>
      <c r="AA114" s="9" t="str">
        <f>IF($B$7&gt;5,COMPLEX(0,$D114*$B$21),0)</f>
        <v>90.3571172961572i</v>
      </c>
      <c r="AB114" s="9" t="str">
        <f>IF($B$7&gt;5,COMPLEX(0,$D114/$B$21),0)</f>
        <v>1.05682325499098E-003i</v>
      </c>
      <c r="AC114" s="9" t="str">
        <f>IF($B$7&gt;5,COMPLEX($E114,0),1)</f>
        <v>0.951056516295154</v>
      </c>
      <c r="AD114" s="9" t="str">
        <f>IF($B$7&gt;6,COMPLEX($E114,0),1)</f>
        <v>0.951056516295154</v>
      </c>
      <c r="AE114" s="9" t="str">
        <f>IF($B$7&gt;6,COMPLEX(0,$D114*$B$22),0)</f>
        <v>108.050231272623i</v>
      </c>
      <c r="AF114" s="9" t="str">
        <f>IF($B$7&gt;6,COMPLEX(0,$D114/$B$22),0)</f>
        <v>8.83769536518534E-004i</v>
      </c>
      <c r="AG114" s="9" t="str">
        <f>IF($B$7&gt;6,COMPLEX($E114,0),1)</f>
        <v>0.951056516295154</v>
      </c>
      <c r="AH114" s="9" t="str">
        <f>IF($B$7&gt;7,COMPLEX($E114,0),1)</f>
        <v>0.951056516295154</v>
      </c>
      <c r="AI114" s="9" t="str">
        <f>IF($B$7&gt;7,COMPLEX(0,$D114*$B$23),0)</f>
        <v>129.207890063618i</v>
      </c>
      <c r="AJ114" s="9" t="str">
        <f>IF($B$7&gt;7,COMPLEX(0,$D114/$B$23),0)</f>
        <v>7.39053186036157E-004i</v>
      </c>
      <c r="AK114" s="9" t="str">
        <f>IF($B$7&gt;7,COMPLEX($E114,0),1)</f>
        <v>0.951056516295154</v>
      </c>
      <c r="AL114" s="4" t="str">
        <f>IMSUM(IMPRODUCT(F114,J114),IMPRODUCT(G114,L114))</f>
        <v>0.824653629513499</v>
      </c>
      <c r="AM114" s="5" t="str">
        <f>IMSUM(IMPRODUCT(F114,K114),IMPRODUCT(G114,M114))</f>
        <v>77.1698062538741i</v>
      </c>
      <c r="AN114" s="5" t="str">
        <f>IMSUM(IMPRODUCT(H114,J114),IMPRODUCT(I114,L114))</f>
        <v>4.51291764681557E-003i</v>
      </c>
      <c r="AO114" s="5" t="str">
        <f>IMSUM(IMPRODUCT(H114,K114),IMPRODUCT(I114,M114))</f>
        <v>0.790318500071414</v>
      </c>
      <c r="AP114" s="4" t="str">
        <f>IMSUM(IMPRODUCT(AL114,N114),IMPRODUCT(AM114,P114))</f>
        <v>0.644835383327203</v>
      </c>
      <c r="AQ114" s="5" t="str">
        <f>IMSUM(IMPRODUCT(AL114,O114),IMPRODUCT(AM114,Q114))</f>
        <v>116.96850374811i</v>
      </c>
      <c r="AR114" s="5" t="str">
        <f>IMSUM(IMPRODUCT(AN114,N114),IMPRODUCT(AO114,P114))</f>
        <v>5.72025776375285E-003i</v>
      </c>
      <c r="AS114" s="5" t="str">
        <f>IMSUM(IMPRODUCT(AN114,O114),IMPRODUCT(AO114,Q114))</f>
        <v>0.513169743590838</v>
      </c>
      <c r="AT114" s="4" t="str">
        <f>IMSUM(IMPRODUCT(AP114,R114),IMPRODUCT(AQ114,T114))</f>
        <v>0.436509207130534</v>
      </c>
      <c r="AU114" s="5" t="str">
        <f>IMSUM(IMPRODUCT(AP114,S114),IMPRODUCT(AQ114,U114))</f>
        <v>151.98961814534i</v>
      </c>
      <c r="AV114" s="5" t="str">
        <f>IMSUM(IMPRODUCT(AR114,R114),IMPRODUCT(AS114,T114))</f>
        <v>6.21580318717795E-003i</v>
      </c>
      <c r="AW114" s="5" t="str">
        <f>IMSUM(IMPRODUCT(AR114,S114),IMPRODUCT(AS114,U114))</f>
        <v>0.126600873959821</v>
      </c>
      <c r="AX114" s="4" t="str">
        <f>IMSUM(IMPRODUCT(AT114,V114),IMPRODUCT(AU114,X114))</f>
        <v>0.223066044011531</v>
      </c>
      <c r="AY114" s="5" t="str">
        <f>IMSUM(IMPRODUCT(AT114,W114),IMPRODUCT(AU114,Y114))</f>
        <v>177.533890431495i</v>
      </c>
      <c r="AZ114" s="5" t="str">
        <f>IMSUM(IMPRODUCT(AV114,V114),IMPRODUCT(AW114,X114))</f>
        <v>6.07157364715589E-003i</v>
      </c>
      <c r="BA114" s="5" t="str">
        <f>IMSUM(IMPRODUCT(AV114,W114),IMPRODUCT(AW114,Y114))</f>
        <v>-0.349269163606543</v>
      </c>
      <c r="BB114" s="4" t="str">
        <f>IMSUM(IMPRODUCT(AX114,Z114),IMPRODUCT(AY114,AB114))</f>
        <v>2.4526470764323E-002</v>
      </c>
      <c r="BC114" s="5" t="str">
        <f>IMSUM(IMPRODUCT(AX114,AA114),IMPRODUCT(AY114,AC114))</f>
        <v>189.000368061643i</v>
      </c>
      <c r="BD114" s="5" t="str">
        <f>IMSUM(IMPRODUCT(AZ114,Z114),IMPRODUCT(BA114,AB114))</f>
        <v>5.4052939069429E-003i</v>
      </c>
      <c r="BE114" s="5" t="str">
        <f>IMSUM(IMPRODUCT(AZ114,AA114),IMPRODUCT(BA114,AC114))</f>
        <v>-0.880784606197283</v>
      </c>
      <c r="BF114" s="4" t="str">
        <f>IMSUM(IMPRODUCT(BB114,AD114),IMPRODUCT(BC114,AF114))</f>
        <v>-0.143706707841539</v>
      </c>
      <c r="BG114" s="5" t="str">
        <f>IMSUM(IMPRODUCT(BB114,AE114),IMPRODUCT(BC114,AG114))</f>
        <v>182.400122465594i</v>
      </c>
      <c r="BH114" s="5" t="str">
        <f>IMSUM(IMPRODUCT(BD114,AD114),IMPRODUCT(BE114,AF114))</f>
        <v>4.36232938949691E-003i</v>
      </c>
      <c r="BI114" s="5" t="str">
        <f>IMSUM(IMPRODUCT(BD114,AE114),IMPRODUCT(BE114,AG114))</f>
        <v>-1.42171919591807</v>
      </c>
      <c r="BJ114" s="4" t="str">
        <f>IMSUM(IMPRODUCT(BF114,AH114),IMPRODUCT(BG114,AJ114))</f>
        <v>-0.271476592569602</v>
      </c>
      <c r="BK114" s="5" t="str">
        <f>IMSUM(IMPRODUCT(BF114,AI114),IMPRODUCT(BG114,AK114))</f>
        <v>154.904784535743i</v>
      </c>
      <c r="BL114" s="5" t="str">
        <f>IMSUM(IMPRODUCT(BH114,AH114),IMPRODUCT(BI114,AJ114))</f>
        <v>3.09809569071489E-003i</v>
      </c>
      <c r="BM114" s="5" t="str">
        <f>IMSUM(IMPRODUCT(BH114,AI114),IMPRODUCT(BI114,AK114))</f>
        <v>-1.9157826817992</v>
      </c>
      <c r="BN114" s="4">
        <f t="shared" si="4"/>
        <v>500</v>
      </c>
      <c r="BO114" s="4">
        <v>1</v>
      </c>
      <c r="BP114" s="4" t="str">
        <f>IMSUM(IMPRODUCT($BJ114,$BN114),IMPRODUCT($BK114,$BO114))</f>
        <v>-135.738296284801+154.904784535743i</v>
      </c>
      <c r="BQ114" s="4" t="str">
        <f>IMSUM(IMPRODUCT($BL114,$BN114),IMPRODUCT($BM114,$BO114))</f>
        <v>-1.9157826817992+1.54904784535745i</v>
      </c>
      <c r="BR114" s="4" t="str">
        <f>IMDIV($BP114,$BQ114)</f>
        <v>82.3754101305445-14.2507462991297i</v>
      </c>
      <c r="BS114" s="4" t="str">
        <f>IMDIV(IMSUB($BQ$100,$BR114),IMSUM($BQ$100,$BR114))</f>
        <v>8.99838445665107E-002+8.51709297210014E-002i</v>
      </c>
      <c r="BT114" s="4">
        <f>IMABS($BS114)</f>
        <v>0.12389987712871114</v>
      </c>
      <c r="BU114" s="4">
        <f t="shared" si="5"/>
        <v>1.2828441039881324</v>
      </c>
      <c r="BV114" s="4">
        <f t="shared" si="6"/>
        <v>-0.0671863502140369</v>
      </c>
    </row>
    <row r="115" spans="1:74" ht="12.75">
      <c r="A115" s="5">
        <v>12</v>
      </c>
      <c r="B115" s="5">
        <f t="shared" si="1"/>
        <v>2.2</v>
      </c>
      <c r="C115" s="4">
        <f t="shared" si="0"/>
        <v>0.3455751918948773</v>
      </c>
      <c r="D115" s="4">
        <f t="shared" si="2"/>
        <v>0.33873792024529137</v>
      </c>
      <c r="E115" s="5">
        <f t="shared" si="3"/>
        <v>0.9408807689542255</v>
      </c>
      <c r="F115" s="9" t="str">
        <f>IF($B$7&gt;0,COMPLEX($E115,0),1)</f>
        <v>0.940880768954225</v>
      </c>
      <c r="G115" s="9" t="str">
        <f>IF($B$7&gt;0,COMPLEX(0,$D115*$B$16),0)</f>
        <v>40.5067267732186i</v>
      </c>
      <c r="H115" s="9" t="str">
        <f>IF($B$7&gt;0,COMPLEX(0,$D115/$B$16),0)</f>
        <v>2.8326993502711E-003i</v>
      </c>
      <c r="I115" s="9" t="str">
        <f>IF($B$7&gt;0,COMPLEX($E115,0),1)</f>
        <v>0.940880768954225</v>
      </c>
      <c r="J115" s="9" t="str">
        <f>IF($B$7&gt;1,COMPLEX($E115,0),1)</f>
        <v>0.940880768954225</v>
      </c>
      <c r="K115" s="9" t="str">
        <f>IF($B$7&gt;1,COMPLEX(0,$D115*$B$17),0)</f>
        <v>48.4384775313029i</v>
      </c>
      <c r="L115" s="9" t="str">
        <f>IF($B$7&gt;1,COMPLEX(0,$D115/$B$17),0)</f>
        <v>2.36884775203666E-003i</v>
      </c>
      <c r="M115" s="9" t="str">
        <f>IF($B$7&gt;1,COMPLEX($E115,0),1)</f>
        <v>0.940880768954225</v>
      </c>
      <c r="N115" s="9" t="str">
        <f>IF($B$7&gt;2,COMPLEX($E115,0),1)</f>
        <v>0.940880768954225</v>
      </c>
      <c r="O115" s="9" t="str">
        <f>IF($B$7&gt;2,COMPLEX(0,$D115*$B$18),0)</f>
        <v>57.9233695846738i</v>
      </c>
      <c r="P115" s="9" t="str">
        <f>IF($B$7&gt;2,COMPLEX(0,$D115/$B$18),0)</f>
        <v>1.98095137480513E-003i</v>
      </c>
      <c r="Q115" s="9" t="str">
        <f>IF($B$7&gt;2,COMPLEX($E115,0),1)</f>
        <v>0.940880768954225</v>
      </c>
      <c r="R115" s="9" t="str">
        <f>IF($B$7&gt;3,COMPLEX($E115,0),1)</f>
        <v>0.940880768954225</v>
      </c>
      <c r="S115" s="9" t="str">
        <f>IF($B$7&gt;3,COMPLEX(0,$D115*$B$19),0)</f>
        <v>69.2655284608088i</v>
      </c>
      <c r="T115" s="9" t="str">
        <f>IF($B$7&gt;3,COMPLEX(0,$D115/$B$19),0)</f>
        <v>1.65657262944335E-003i</v>
      </c>
      <c r="U115" s="9" t="str">
        <f>IF($B$7&gt;3,COMPLEX($E115,0),1)</f>
        <v>0.940880768954225</v>
      </c>
      <c r="V115" s="9" t="str">
        <f>IF($B$7&gt;4,COMPLEX($E115,0),1)</f>
        <v>0.940880768954225</v>
      </c>
      <c r="W115" s="9" t="str">
        <f>IF($B$7&gt;4,COMPLEX(0,$D115*$B$20),0)</f>
        <v>82.8286314721677i</v>
      </c>
      <c r="X115" s="9" t="str">
        <f>IF($B$7&gt;4,COMPLEX(0,$D115/$B$20),0)</f>
        <v>1.38531056921618E-003i</v>
      </c>
      <c r="Y115" s="9" t="str">
        <f>IF($B$7&gt;4,COMPLEX($E115,0),1)</f>
        <v>0.940880768954225</v>
      </c>
      <c r="Z115" s="9" t="str">
        <f>IF($B$7&gt;5,COMPLEX($E115,0),1)</f>
        <v>0.940880768954225</v>
      </c>
      <c r="AA115" s="9" t="str">
        <f>IF($B$7&gt;5,COMPLEX(0,$D115*$B$21),0)</f>
        <v>99.0475687402567i</v>
      </c>
      <c r="AB115" s="9" t="str">
        <f>IF($B$7&gt;5,COMPLEX(0,$D115/$B$21),0)</f>
        <v>1.15846739169348E-003i</v>
      </c>
      <c r="AC115" s="9" t="str">
        <f>IF($B$7&gt;5,COMPLEX($E115,0),1)</f>
        <v>0.940880768954225</v>
      </c>
      <c r="AD115" s="9" t="str">
        <f>IF($B$7&gt;6,COMPLEX($E115,0),1)</f>
        <v>0.940880768954225</v>
      </c>
      <c r="AE115" s="9" t="str">
        <f>IF($B$7&gt;6,COMPLEX(0,$D115*$B$22),0)</f>
        <v>118.442387601833i</v>
      </c>
      <c r="AF115" s="9" t="str">
        <f>IF($B$7&gt;6,COMPLEX(0,$D115/$B$22),0)</f>
        <v>9.68769550626059E-004i</v>
      </c>
      <c r="AG115" s="9" t="str">
        <f>IF($B$7&gt;6,COMPLEX($E115,0),1)</f>
        <v>0.940880768954225</v>
      </c>
      <c r="AH115" s="9" t="str">
        <f>IF($B$7&gt;7,COMPLEX($E115,0),1)</f>
        <v>0.940880768954225</v>
      </c>
      <c r="AI115" s="9" t="str">
        <f>IF($B$7&gt;7,COMPLEX(0,$D115*$B$23),0)</f>
        <v>141.634967513555i</v>
      </c>
      <c r="AJ115" s="9" t="str">
        <f>IF($B$7&gt;7,COMPLEX(0,$D115/$B$23),0)</f>
        <v>8.10134535464372E-004i</v>
      </c>
      <c r="AK115" s="9" t="str">
        <f>IF($B$7&gt;7,COMPLEX($E115,0),1)</f>
        <v>0.940880768954225</v>
      </c>
      <c r="AL115" s="4" t="str">
        <f>IMSUM(IMPRODUCT(F115,J115),IMPRODUCT(G115,L115))</f>
        <v>0.789302352728792</v>
      </c>
      <c r="AM115" s="5" t="str">
        <f>IMSUM(IMPRODUCT(F115,K115),IMPRODUCT(G115,M115))</f>
        <v>83.6868322208288i</v>
      </c>
      <c r="AN115" s="5" t="str">
        <f>IMSUM(IMPRODUCT(H115,J115),IMPRODUCT(I115,L115))</f>
        <v>4.89403563737095E-003i</v>
      </c>
      <c r="AO115" s="5" t="str">
        <f>IMSUM(IMPRODUCT(H115,K115),IMPRODUCT(I115,M115))</f>
        <v>0.748044977556851</v>
      </c>
      <c r="AP115" s="4" t="str">
        <f>IMSUM(IMPRODUCT(AL115,N115),IMPRODUCT(AM115,P115))</f>
        <v>0.576859859231908</v>
      </c>
      <c r="AQ115" s="5" t="str">
        <f>IMSUM(IMPRODUCT(AL115,O115),IMPRODUCT(AM115,Q115))</f>
        <v>124.458382942439i</v>
      </c>
      <c r="AR115" s="5" t="str">
        <f>IMSUM(IMPRODUCT(AN115,N115),IMPRODUCT(AO115,P115))</f>
        <v>6.08654474048628E-003i</v>
      </c>
      <c r="AS115" s="5" t="str">
        <f>IMSUM(IMPRODUCT(AN115,O115),IMPRODUCT(AO115,Q115))</f>
        <v>0.420342098712034</v>
      </c>
      <c r="AT115" s="4" t="str">
        <f>IMSUM(IMPRODUCT(AP115,R115),IMPRODUCT(AQ115,T115))</f>
        <v>0.33658199724572</v>
      </c>
      <c r="AU115" s="5" t="str">
        <f>IMSUM(IMPRODUCT(AP115,S115),IMPRODUCT(AQ115,U115))</f>
        <v>157.057002043207i</v>
      </c>
      <c r="AV115" s="5" t="str">
        <f>IMSUM(IMPRODUCT(AR115,R115),IMPRODUCT(AS115,T115))</f>
        <v>6.42304011143215E-003i</v>
      </c>
      <c r="AW115" s="5" t="str">
        <f>IMSUM(IMPRODUCT(AR115,S115),IMPRODUCT(AS115,U115))</f>
        <v>-2.6095940890128E-002</v>
      </c>
      <c r="AX115" s="4" t="str">
        <f>IMSUM(IMPRODUCT(AT115,V115),IMPRODUCT(AU115,X115))</f>
        <v>9.911080348484E-002</v>
      </c>
      <c r="AY115" s="5" t="str">
        <f>IMSUM(IMPRODUCT(AT115,W115),IMPRODUCT(AU115,Y115))</f>
        <v>175.65053906209i</v>
      </c>
      <c r="AZ115" s="5" t="str">
        <f>IMSUM(IMPRODUCT(AV115,V115),IMPRODUCT(AW115,X115))</f>
        <v>6.00716393633938E-003i</v>
      </c>
      <c r="BA115" s="5" t="str">
        <f>IMSUM(IMPRODUCT(AV115,W115),IMPRODUCT(AW115,Y115))</f>
        <v>-0.556564791252052</v>
      </c>
      <c r="BB115" s="4" t="str">
        <f>IMSUM(IMPRODUCT(AX115,Z115),IMPRODUCT(AY115,AB115))</f>
        <v>-0.110233972842326</v>
      </c>
      <c r="BC115" s="5" t="str">
        <f>IMSUM(IMPRODUCT(AX115,AA115),IMPRODUCT(AY115,AC115))</f>
        <v>175.08289838103i</v>
      </c>
      <c r="BD115" s="5" t="str">
        <f>IMSUM(IMPRODUCT(AZ115,Z115),IMPRODUCT(BA115,AB115))</f>
        <v>5.0072628616269E-003i</v>
      </c>
      <c r="BE115" s="5" t="str">
        <f>IMSUM(IMPRODUCT(AZ115,AA115),IMPRODUCT(BA115,AC115))</f>
        <v>-1.11865609168464</v>
      </c>
      <c r="BF115" s="4" t="str">
        <f>IMSUM(IMPRODUCT(BB115,AD115),IMPRODUCT(BC115,AF115))</f>
        <v>-0.273332005919665</v>
      </c>
      <c r="BG115" s="5" t="str">
        <f>IMSUM(IMPRODUCT(BB115,AE115),IMPRODUCT(BC115,AG115))</f>
        <v>151.675757121197i</v>
      </c>
      <c r="BH115" s="5" t="str">
        <f>IMSUM(IMPRODUCT(BD115,AD115),IMPRODUCT(BE115,AF115))</f>
        <v>3.62751737235702E-003i</v>
      </c>
      <c r="BI115" s="5" t="str">
        <f>IMSUM(IMPRODUCT(BD115,AE115),IMPRODUCT(BE115,AG115))</f>
        <v>-1.64559417242065</v>
      </c>
      <c r="BJ115" s="4" t="str">
        <f>IMSUM(IMPRODUCT(BF115,AH115),IMPRODUCT(BG115,AJ115))</f>
        <v>-0.380050596946083</v>
      </c>
      <c r="BK115" s="5" t="str">
        <f>IMSUM(IMPRODUCT(BF115,AI115),IMPRODUCT(BG115,AK115))</f>
        <v>103.995433213059i</v>
      </c>
      <c r="BL115" s="5" t="str">
        <f>IMSUM(IMPRODUCT(BH115,AH115),IMPRODUCT(BI115,AJ115))</f>
        <v>2.0799086642612E-003i</v>
      </c>
      <c r="BM115" s="5" t="str">
        <f>IMSUM(IMPRODUCT(BH115,AI115),IMPRODUCT(BI115,AK115))</f>
        <v>-2.06209121552237</v>
      </c>
      <c r="BN115" s="4">
        <f t="shared" si="4"/>
        <v>500</v>
      </c>
      <c r="BO115" s="4">
        <v>1</v>
      </c>
      <c r="BP115" s="4" t="str">
        <f>IMSUM(IMPRODUCT($BJ115,$BN115),IMPRODUCT($BK115,$BO115))</f>
        <v>-190.025298473042+103.995433213059i</v>
      </c>
      <c r="BQ115" s="4" t="str">
        <f>IMSUM(IMPRODUCT($BL115,$BN115),IMPRODUCT($BM115,$BO115))</f>
        <v>-2.06209121552237+1.0399543321306i</v>
      </c>
      <c r="BR115" s="4" t="str">
        <f>IMDIV($BP115,$BQ115)</f>
        <v>93.7431123293726-3.15547507779583i</v>
      </c>
      <c r="BS115" s="4" t="str">
        <f>IMDIV(IMSUB($BQ$100,$BR115),IMSUM($BQ$100,$BR115))</f>
        <v>3.20210046698613E-002+1.68084249336375E-002i</v>
      </c>
      <c r="BT115" s="4">
        <f>IMABS($BS115)</f>
        <v>0.03616445615265085</v>
      </c>
      <c r="BU115" s="4">
        <f t="shared" si="5"/>
        <v>1.0750427941436833</v>
      </c>
      <c r="BV115" s="4">
        <f t="shared" si="6"/>
        <v>-0.005683715657020468</v>
      </c>
    </row>
    <row r="116" spans="1:74" ht="12.75">
      <c r="A116" s="5">
        <v>13</v>
      </c>
      <c r="B116" s="5">
        <f t="shared" si="1"/>
        <v>2.4000000000000004</v>
      </c>
      <c r="C116" s="4">
        <f t="shared" si="0"/>
        <v>0.37699111843077526</v>
      </c>
      <c r="D116" s="4">
        <f t="shared" si="2"/>
        <v>0.36812455268467803</v>
      </c>
      <c r="E116" s="5">
        <f t="shared" si="3"/>
        <v>0.9297764858882515</v>
      </c>
      <c r="F116" s="9" t="str">
        <f>IF($B$7&gt;0,COMPLEX($E116,0),1)</f>
        <v>0.929776485888251</v>
      </c>
      <c r="G116" s="9" t="str">
        <f>IF($B$7&gt;0,COMPLEX(0,$D116*$B$16),0)</f>
        <v>44.0208189957405i</v>
      </c>
      <c r="H116" s="9" t="str">
        <f>IF($B$7&gt;0,COMPLEX(0,$D116/$B$16),0)</f>
        <v>3.07844536700707E-003i</v>
      </c>
      <c r="I116" s="9" t="str">
        <f>IF($B$7&gt;0,COMPLEX($E116,0),1)</f>
        <v>0.929776485888251</v>
      </c>
      <c r="J116" s="9" t="str">
        <f>IF($B$7&gt;1,COMPLEX($E116,0),1)</f>
        <v>0.929776485888251</v>
      </c>
      <c r="K116" s="9" t="str">
        <f>IF($B$7&gt;1,COMPLEX(0,$D116*$B$17),0)</f>
        <v>52.6406753074041i</v>
      </c>
      <c r="L116" s="9" t="str">
        <f>IF($B$7&gt;1,COMPLEX(0,$D116/$B$17),0)</f>
        <v>2.57435311188406E-003i</v>
      </c>
      <c r="M116" s="9" t="str">
        <f>IF($B$7&gt;1,COMPLEX($E116,0),1)</f>
        <v>0.929776485888251</v>
      </c>
      <c r="N116" s="9" t="str">
        <f>IF($B$7&gt;2,COMPLEX($E116,0),1)</f>
        <v>0.929776485888251</v>
      </c>
      <c r="O116" s="9" t="str">
        <f>IF($B$7&gt;2,COMPLEX(0,$D116*$B$18),0)</f>
        <v>62.9484130471918i</v>
      </c>
      <c r="P116" s="9" t="str">
        <f>IF($B$7&gt;2,COMPLEX(0,$D116/$B$18),0)</f>
        <v>2.15280544384335E-003i</v>
      </c>
      <c r="Q116" s="9" t="str">
        <f>IF($B$7&gt;2,COMPLEX($E116,0),1)</f>
        <v>0.929776485888251</v>
      </c>
      <c r="R116" s="9" t="str">
        <f>IF($B$7&gt;3,COMPLEX($E116,0),1)</f>
        <v>0.929776485888251</v>
      </c>
      <c r="S116" s="9" t="str">
        <f>IF($B$7&gt;3,COMPLEX(0,$D116*$B$19),0)</f>
        <v>75.2745416357249i</v>
      </c>
      <c r="T116" s="9" t="str">
        <f>IF($B$7&gt;3,COMPLEX(0,$D116/$B$19),0)</f>
        <v>1.80028577184958E-003i</v>
      </c>
      <c r="U116" s="9" t="str">
        <f>IF($B$7&gt;3,COMPLEX($E116,0),1)</f>
        <v>0.929776485888251</v>
      </c>
      <c r="V116" s="9" t="str">
        <f>IF($B$7&gt;4,COMPLEX($E116,0),1)</f>
        <v>0.929776485888251</v>
      </c>
      <c r="W116" s="9" t="str">
        <f>IF($B$7&gt;4,COMPLEX(0,$D116*$B$20),0)</f>
        <v>90.0142885924789i</v>
      </c>
      <c r="X116" s="9" t="str">
        <f>IF($B$7&gt;4,COMPLEX(0,$D116/$B$20),0)</f>
        <v>1.5054908327145E-003i</v>
      </c>
      <c r="Y116" s="9" t="str">
        <f>IF($B$7&gt;4,COMPLEX($E116,0),1)</f>
        <v>0.929776485888251</v>
      </c>
      <c r="Z116" s="9" t="str">
        <f>IF($B$7&gt;5,COMPLEX($E116,0),1)</f>
        <v>0.929776485888251</v>
      </c>
      <c r="AA116" s="9" t="str">
        <f>IF($B$7&gt;5,COMPLEX(0,$D116*$B$21),0)</f>
        <v>107.640272192168i</v>
      </c>
      <c r="AB116" s="9" t="str">
        <f>IF($B$7&gt;5,COMPLEX(0,$D116/$B$21),0)</f>
        <v>1.25896826094384E-003i</v>
      </c>
      <c r="AC116" s="9" t="str">
        <f>IF($B$7&gt;5,COMPLEX($E116,0),1)</f>
        <v>0.929776485888251</v>
      </c>
      <c r="AD116" s="9" t="str">
        <f>IF($B$7&gt;6,COMPLEX($E116,0),1)</f>
        <v>0.929776485888251</v>
      </c>
      <c r="AE116" s="9" t="str">
        <f>IF($B$7&gt;6,COMPLEX(0,$D116*$B$22),0)</f>
        <v>128.717655594203i</v>
      </c>
      <c r="AF116" s="9" t="str">
        <f>IF($B$7&gt;6,COMPLEX(0,$D116/$B$22),0)</f>
        <v>1.05281350614808E-003i</v>
      </c>
      <c r="AG116" s="9" t="str">
        <f>IF($B$7&gt;6,COMPLEX($E116,0),1)</f>
        <v>0.929776485888251</v>
      </c>
      <c r="AH116" s="9" t="str">
        <f>IF($B$7&gt;7,COMPLEX($E116,0),1)</f>
        <v>0.929776485888251</v>
      </c>
      <c r="AI116" s="9" t="str">
        <f>IF($B$7&gt;7,COMPLEX(0,$D116*$B$23),0)</f>
        <v>153.922268350354i</v>
      </c>
      <c r="AJ116" s="9" t="str">
        <f>IF($B$7&gt;7,COMPLEX(0,$D116/$B$23),0)</f>
        <v>8.80416379914811E-004i</v>
      </c>
      <c r="AK116" s="9" t="str">
        <f>IF($B$7&gt;7,COMPLEX($E116,0),1)</f>
        <v>0.929776485888251</v>
      </c>
      <c r="AL116" s="4" t="str">
        <f>IMSUM(IMPRODUCT(F116,J116),IMPRODUCT(G116,L116))</f>
        <v>0.751159181341336</v>
      </c>
      <c r="AM116" s="5" t="str">
        <f>IMSUM(IMPRODUCT(F116,K116),IMPRODUCT(G116,M116))</f>
        <v>89.873584493885i</v>
      </c>
      <c r="AN116" s="5" t="str">
        <f>IMSUM(IMPRODUCT(H116,J116),IMPRODUCT(I116,L116))</f>
        <v>5.25583910513784E-003i</v>
      </c>
      <c r="AO116" s="5" t="str">
        <f>IMSUM(IMPRODUCT(H116,K116),IMPRODUCT(I116,M116))</f>
        <v>0.702432870694503</v>
      </c>
      <c r="AP116" s="4" t="str">
        <f>IMSUM(IMPRODUCT(AL116,N116),IMPRODUCT(AM116,P116))</f>
        <v>0.504929802014092</v>
      </c>
      <c r="AQ116" s="5" t="str">
        <f>IMSUM(IMPRODUCT(AL116,O116),IMPRODUCT(AM116,Q116))</f>
        <v>130.84662397617i</v>
      </c>
      <c r="AR116" s="5" t="str">
        <f>IMSUM(IMPRODUCT(AN116,N116),IMPRODUCT(AO116,P116))</f>
        <v>6.39895692153475E-003i</v>
      </c>
      <c r="AS116" s="5" t="str">
        <f>IMSUM(IMPRODUCT(AN116,O116),IMPRODUCT(AO116,Q116))</f>
        <v>0.322258835186931</v>
      </c>
      <c r="AT116" s="4" t="str">
        <f>IMSUM(IMPRODUCT(AP116,R116),IMPRODUCT(AQ116,T116))</f>
        <v>0.233910541498062</v>
      </c>
      <c r="AU116" s="5" t="str">
        <f>IMSUM(IMPRODUCT(AP116,S116),IMPRODUCT(AQ116,U116))</f>
        <v>159.666473635733i</v>
      </c>
      <c r="AV116" s="5" t="str">
        <f>IMSUM(IMPRODUCT(AR116,R116),IMPRODUCT(AS116,T116))</f>
        <v>6.52975767569473E-003i</v>
      </c>
      <c r="AW116" s="5" t="str">
        <f>IMSUM(IMPRODUCT(AR116,S116),IMPRODUCT(AS116,U116))</f>
        <v>-0.182049861888732</v>
      </c>
      <c r="AX116" s="4" t="str">
        <f>IMSUM(IMPRODUCT(AT116,V116),IMPRODUCT(AU116,X116))</f>
        <v>-2.2891891064161E-002</v>
      </c>
      <c r="AY116" s="5" t="str">
        <f>IMSUM(IMPRODUCT(AT116,W116),IMPRODUCT(AU116,Y116))</f>
        <v>169.509423758431i</v>
      </c>
      <c r="AZ116" s="5" t="str">
        <f>IMSUM(IMPRODUCT(AV116,V116),IMPRODUCT(AW116,X116))</f>
        <v>5.79714074723885E-003i</v>
      </c>
      <c r="BA116" s="5" t="str">
        <f>IMSUM(IMPRODUCT(AV116,W116),IMPRODUCT(AW116,Y116))</f>
        <v>-0.757037172702287</v>
      </c>
      <c r="BB116" s="4" t="str">
        <f>IMSUM(IMPRODUCT(AX116,Z116),IMPRODUCT(AY116,AB116))</f>
        <v>-0.234691326471716</v>
      </c>
      <c r="BC116" s="5" t="str">
        <f>IMSUM(IMPRODUCT(AX116,AA116),IMPRODUCT(AY116,AC116))</f>
        <v>155.141786961916i</v>
      </c>
      <c r="BD116" s="5" t="str">
        <f>IMSUM(IMPRODUCT(AZ116,Z116),IMPRODUCT(BA116,AB116))</f>
        <v>4.43695937938049E-003i</v>
      </c>
      <c r="BE116" s="5" t="str">
        <f>IMSUM(IMPRODUCT(AZ116,AA116),IMPRODUCT(BA116,AC116))</f>
        <v>-1.32788117009101</v>
      </c>
      <c r="BF116" s="4" t="str">
        <f>IMSUM(IMPRODUCT(BB116,AD116),IMPRODUCT(BC116,AF116))</f>
        <v>-0.381545845476777</v>
      </c>
      <c r="BG116" s="5" t="str">
        <f>IMSUM(IMPRODUCT(BB116,AE116),IMPRODUCT(BC116,AG116))</f>
        <v>114.038268164141i</v>
      </c>
      <c r="BH116" s="5" t="str">
        <f>IMSUM(IMPRODUCT(BD116,AD116),IMPRODUCT(BE116,AF116))</f>
        <v>2.72736926935778E-003i</v>
      </c>
      <c r="BI116" s="5" t="str">
        <f>IMSUM(IMPRODUCT(BD116,AE116),IMPRODUCT(BE116,AG116))</f>
        <v>-1.80574769728497</v>
      </c>
      <c r="BJ116" s="4" t="str">
        <f>IMSUM(IMPRODUCT(BF116,AH116),IMPRODUCT(BG116,AJ116))</f>
        <v>-0.455153514641486</v>
      </c>
      <c r="BK116" s="5" t="str">
        <f>IMSUM(IMPRODUCT(BF116,AI116),IMPRODUCT(BG116,AK116))</f>
        <v>47.3016982149978i</v>
      </c>
      <c r="BL116" s="5" t="str">
        <f>IMSUM(IMPRODUCT(BH116,AH116),IMPRODUCT(BI116,AJ116))</f>
        <v>9.4603396429994E-004i</v>
      </c>
      <c r="BM116" s="5" t="str">
        <f>IMSUM(IMPRODUCT(BH116,AI116),IMPRODUCT(BI116,AK116))</f>
        <v>-2.09874461295102</v>
      </c>
      <c r="BN116" s="4">
        <f t="shared" si="4"/>
        <v>500</v>
      </c>
      <c r="BO116" s="4">
        <v>1</v>
      </c>
      <c r="BP116" s="4" t="str">
        <f>IMSUM(IMPRODUCT($BJ116,$BN116),IMPRODUCT($BK116,$BO116))</f>
        <v>-227.576757320743+47.3016982149978i</v>
      </c>
      <c r="BQ116" s="4" t="str">
        <f>IMSUM(IMPRODUCT($BL116,$BN116),IMPRODUCT($BM116,$BO116))</f>
        <v>-2.09874461295102+0.47301698214997i</v>
      </c>
      <c r="BR116" s="4" t="str">
        <f>IMDIV($BP116,$BQ116)</f>
        <v>108.026964890352+1.80912469522365i</v>
      </c>
      <c r="BS116" s="4" t="str">
        <f>IMDIV(IMSUB($BQ$100,$BR116),IMSUM($BQ$100,$BR116))</f>
        <v>-3.86588819261278E-002-8.36038711692043E-003i</v>
      </c>
      <c r="BT116" s="4">
        <f>IMABS($BS116)</f>
        <v>0.03955256280600613</v>
      </c>
      <c r="BU116" s="4">
        <f t="shared" si="5"/>
        <v>1.0823627848319557</v>
      </c>
      <c r="BV116" s="4">
        <f t="shared" si="6"/>
        <v>-0.006799445496551271</v>
      </c>
    </row>
    <row r="117" spans="1:74" ht="12.75">
      <c r="A117" s="5">
        <v>14</v>
      </c>
      <c r="B117" s="5">
        <f t="shared" si="1"/>
        <v>2.6</v>
      </c>
      <c r="C117" s="4">
        <f t="shared" si="0"/>
        <v>0.4084070449666731</v>
      </c>
      <c r="D117" s="4">
        <f t="shared" si="2"/>
        <v>0.3971478906347806</v>
      </c>
      <c r="E117" s="5">
        <f t="shared" si="3"/>
        <v>0.9177546256839811</v>
      </c>
      <c r="F117" s="9" t="str">
        <f>IF($B$7&gt;0,COMPLEX($E117,0),1)</f>
        <v>0.917754625683981</v>
      </c>
      <c r="G117" s="9" t="str">
        <f>IF($B$7&gt;0,COMPLEX(0,$D117*$B$16),0)</f>
        <v>47.4914679846115i</v>
      </c>
      <c r="H117" s="9" t="str">
        <f>IF($B$7&gt;0,COMPLEX(0,$D117/$B$16),0)</f>
        <v>3.32115332983101E-003i</v>
      </c>
      <c r="I117" s="9" t="str">
        <f>IF($B$7&gt;0,COMPLEX($E117,0),1)</f>
        <v>0.917754625683981</v>
      </c>
      <c r="J117" s="9" t="str">
        <f>IF($B$7&gt;1,COMPLEX($E117,0),1)</f>
        <v>0.917754625683981</v>
      </c>
      <c r="K117" s="9" t="str">
        <f>IF($B$7&gt;1,COMPLEX(0,$D117*$B$17),0)</f>
        <v>56.7909230923625i</v>
      </c>
      <c r="L117" s="9" t="str">
        <f>IF($B$7&gt;1,COMPLEX(0,$D117/$B$17),0)</f>
        <v>2.77731789601545E-003i</v>
      </c>
      <c r="M117" s="9" t="str">
        <f>IF($B$7&gt;1,COMPLEX($E117,0),1)</f>
        <v>0.917754625683981</v>
      </c>
      <c r="N117" s="9" t="str">
        <f>IF($B$7&gt;2,COMPLEX($E117,0),1)</f>
        <v>0.917754625683981</v>
      </c>
      <c r="O117" s="9" t="str">
        <f>IF($B$7&gt;2,COMPLEX(0,$D117*$B$18),0)</f>
        <v>67.9113340258862i</v>
      </c>
      <c r="P117" s="9" t="str">
        <f>IF($B$7&gt;2,COMPLEX(0,$D117/$B$18),0)</f>
        <v>2.32253495381984E-003i</v>
      </c>
      <c r="Q117" s="9" t="str">
        <f>IF($B$7&gt;2,COMPLEX($E117,0),1)</f>
        <v>0.917754625683981</v>
      </c>
      <c r="R117" s="9" t="str">
        <f>IF($B$7&gt;3,COMPLEX($E117,0),1)</f>
        <v>0.917754625683981</v>
      </c>
      <c r="S117" s="9" t="str">
        <f>IF($B$7&gt;3,COMPLEX(0,$D117*$B$19),0)</f>
        <v>81.2092679260522i</v>
      </c>
      <c r="T117" s="9" t="str">
        <f>IF($B$7&gt;3,COMPLEX(0,$D117/$B$19),0)</f>
        <v>1.94222224955012E-003i</v>
      </c>
      <c r="U117" s="9" t="str">
        <f>IF($B$7&gt;3,COMPLEX($E117,0),1)</f>
        <v>0.917754625683981</v>
      </c>
      <c r="V117" s="9" t="str">
        <f>IF($B$7&gt;4,COMPLEX($E117,0),1)</f>
        <v>0.917754625683981</v>
      </c>
      <c r="W117" s="9" t="str">
        <f>IF($B$7&gt;4,COMPLEX(0,$D117*$B$20),0)</f>
        <v>97.1111124775061i</v>
      </c>
      <c r="X117" s="9" t="str">
        <f>IF($B$7&gt;4,COMPLEX(0,$D117/$B$20),0)</f>
        <v>1.62418535852104E-003i</v>
      </c>
      <c r="Y117" s="9" t="str">
        <f>IF($B$7&gt;4,COMPLEX($E117,0),1)</f>
        <v>0.917754625683981</v>
      </c>
      <c r="Z117" s="9" t="str">
        <f>IF($B$7&gt;5,COMPLEX($E117,0),1)</f>
        <v>0.917754625683981</v>
      </c>
      <c r="AA117" s="9" t="str">
        <f>IF($B$7&gt;5,COMPLEX(0,$D117*$B$21),0)</f>
        <v>116.126747690992i</v>
      </c>
      <c r="AB117" s="9" t="str">
        <f>IF($B$7&gt;5,COMPLEX(0,$D117/$B$21),0)</f>
        <v>1.35822668051772E-003i</v>
      </c>
      <c r="AC117" s="9" t="str">
        <f>IF($B$7&gt;5,COMPLEX($E117,0),1)</f>
        <v>0.917754625683981</v>
      </c>
      <c r="AD117" s="9" t="str">
        <f>IF($B$7&gt;6,COMPLEX($E117,0),1)</f>
        <v>0.917754625683981</v>
      </c>
      <c r="AE117" s="9" t="str">
        <f>IF($B$7&gt;6,COMPLEX(0,$D117*$B$22),0)</f>
        <v>138.865894800773i</v>
      </c>
      <c r="AF117" s="9" t="str">
        <f>IF($B$7&gt;6,COMPLEX(0,$D117/$B$22),0)</f>
        <v>1.13581846184725E-003i</v>
      </c>
      <c r="AG117" s="9" t="str">
        <f>IF($B$7&gt;6,COMPLEX($E117,0),1)</f>
        <v>0.917754625683981</v>
      </c>
      <c r="AH117" s="9" t="str">
        <f>IF($B$7&gt;7,COMPLEX($E117,0),1)</f>
        <v>0.917754625683981</v>
      </c>
      <c r="AI117" s="9" t="str">
        <f>IF($B$7&gt;7,COMPLEX(0,$D117*$B$23),0)</f>
        <v>166.057666491551i</v>
      </c>
      <c r="AJ117" s="9" t="str">
        <f>IF($B$7&gt;7,COMPLEX(0,$D117/$B$23),0)</f>
        <v>9.49829359692231E-004i</v>
      </c>
      <c r="AK117" s="9" t="str">
        <f>IF($B$7&gt;7,COMPLEX($E117,0),1)</f>
        <v>0.917754625683981</v>
      </c>
      <c r="AL117" s="4" t="str">
        <f>IMSUM(IMPRODUCT(F117,J117),IMPRODUCT(G117,L117))</f>
        <v>0.710374649022638</v>
      </c>
      <c r="AM117" s="5" t="str">
        <f>IMSUM(IMPRODUCT(F117,K117),IMPRODUCT(G117,M117))</f>
        <v>95.7056467882788i</v>
      </c>
      <c r="AN117" s="5" t="str">
        <f>IMSUM(IMPRODUCT(H117,J117),IMPRODUCT(I117,L117))</f>
        <v>5.59690017712125E-003i</v>
      </c>
      <c r="AO117" s="5" t="str">
        <f>IMSUM(IMPRODUCT(H117,K117),IMPRODUCT(I117,M117))</f>
        <v>0.653662189631967</v>
      </c>
      <c r="AP117" s="4" t="str">
        <f>IMSUM(IMPRODUCT(AL117,N117),IMPRODUCT(AM117,P117))</f>
        <v>0.429669910165448</v>
      </c>
      <c r="AQ117" s="5" t="str">
        <f>IMSUM(IMPRODUCT(AL117,O117),IMPRODUCT(AM117,Q117))</f>
        <v>136.076790117318i</v>
      </c>
      <c r="AR117" s="5" t="str">
        <f>IMSUM(IMPRODUCT(AN117,N117),IMPRODUCT(AO117,P117))</f>
        <v>6.65473431045518E-003i</v>
      </c>
      <c r="AS117" s="5" t="str">
        <f>IMSUM(IMPRODUCT(AN117,O117),IMPRODUCT(AO117,Q117))</f>
        <v>0.219808540731434</v>
      </c>
      <c r="AT117" s="4" t="str">
        <f>IMSUM(IMPRODUCT(AP117,R117),IMPRODUCT(AQ117,T117))</f>
        <v>0.130040178158343</v>
      </c>
      <c r="AU117" s="5" t="str">
        <f>IMSUM(IMPRODUCT(AP117,S117),IMPRODUCT(AQ117,U117))</f>
        <v>159.778282432786i</v>
      </c>
      <c r="AV117" s="5" t="str">
        <f>IMSUM(IMPRODUCT(AR117,R117),IMPRODUCT(AS117,T117))</f>
        <v>6.53433023456788E-003i</v>
      </c>
      <c r="AW117" s="5" t="str">
        <f>IMSUM(IMPRODUCT(AR117,S117),IMPRODUCT(AS117,U117))</f>
        <v>-0.338695796573328</v>
      </c>
      <c r="AX117" s="4" t="str">
        <f>IMSUM(IMPRODUCT(AT117,V117),IMPRODUCT(AU117,X117))</f>
        <v>-0.140164571907383</v>
      </c>
      <c r="AY117" s="5" t="str">
        <f>IMSUM(IMPRODUCT(AT117,W117),IMPRODUCT(AU117,Y117))</f>
        <v>159.265604154261i</v>
      </c>
      <c r="AZ117" s="5" t="str">
        <f>IMSUM(IMPRODUCT(AV117,V117),IMPRODUCT(AW117,X117))</f>
        <v>5.44680704473435E-003i</v>
      </c>
      <c r="BA117" s="5" t="str">
        <f>IMSUM(IMPRODUCT(AV117,W117),IMPRODUCT(AW117,Y117))</f>
        <v>-0.945395712379182</v>
      </c>
      <c r="BB117" s="4" t="str">
        <f>IMSUM(IMPRODUCT(AX117,Z117),IMPRODUCT(AY117,AB117))</f>
        <v>-0.344955477076107</v>
      </c>
      <c r="BC117" s="5" t="str">
        <f>IMSUM(IMPRODUCT(AX117,AA117),IMPRODUCT(AY117,AC117))</f>
        <v>129.889889047822i</v>
      </c>
      <c r="BD117" s="5" t="str">
        <f>IMSUM(IMPRODUCT(AZ117,Z117),IMPRODUCT(BA117,AB117))</f>
        <v>3.71477068031258E-003i</v>
      </c>
      <c r="BE117" s="5" t="str">
        <f>IMSUM(IMPRODUCT(AZ117,AA117),IMPRODUCT(BA117,AC117))</f>
        <v>-1.50016127554318</v>
      </c>
      <c r="BF117" s="4" t="str">
        <f>IMSUM(IMPRODUCT(BB117,AD117),IMPRODUCT(BC117,AF117))</f>
        <v>-0.464115818729429</v>
      </c>
      <c r="BG117" s="5" t="str">
        <f>IMSUM(IMPRODUCT(BB117,AE117),IMPRODUCT(BC117,AG117))</f>
        <v>71.3044955126169i</v>
      </c>
      <c r="BH117" s="5" t="str">
        <f>IMSUM(IMPRODUCT(BD117,AD117),IMPRODUCT(BE117,AF117))</f>
        <v>1.70533710270184E-003i</v>
      </c>
      <c r="BI117" s="5" t="str">
        <f>IMSUM(IMPRODUCT(BD117,AE117),IMPRODUCT(BE117,AG117))</f>
        <v>-1.89263490440301</v>
      </c>
      <c r="BJ117" s="4" t="str">
        <f>IMSUM(IMPRODUCT(BF117,AH117),IMPRODUCT(BG117,AJ117))</f>
        <v>-0.493671542807968</v>
      </c>
      <c r="BK117" s="5" t="str">
        <f>IMSUM(IMPRODUCT(BF117,AI117),IMPRODUCT(BG117,AK117))</f>
        <v>-11.6299592512579i</v>
      </c>
      <c r="BL117" s="5" t="str">
        <f>IMSUM(IMPRODUCT(BH117,AH117),IMPRODUCT(BI117,AJ117))</f>
        <v>-2.3259918502515E-004i</v>
      </c>
      <c r="BM117" s="5" t="str">
        <f>IMSUM(IMPRODUCT(BH117,AI117),IMPRODUCT(BI117,AK117))</f>
        <v>-2.02015873810295</v>
      </c>
      <c r="BN117" s="4">
        <f t="shared" si="4"/>
        <v>500</v>
      </c>
      <c r="BO117" s="4">
        <v>1</v>
      </c>
      <c r="BP117" s="4" t="str">
        <f>IMSUM(IMPRODUCT($BJ117,$BN117),IMPRODUCT($BK117,$BO117))</f>
        <v>-246.835771403984-11.6299592512579i</v>
      </c>
      <c r="BQ117" s="4" t="str">
        <f>IMSUM(IMPRODUCT($BL117,$BN117),IMPRODUCT($BM117,$BO117))</f>
        <v>-2.02015873810295-0.116299592512575i</v>
      </c>
      <c r="BR117" s="4" t="str">
        <f>IMDIV($BP117,$BQ117)</f>
        <v>122.113036490011-1.27303715519833i</v>
      </c>
      <c r="BS117" s="4" t="str">
        <f>IMDIV(IMSUB($BQ$100,$BR117),IMSUM($BQ$100,$BR117))</f>
        <v>-9.95871588802957E-002+5.16070114513348E-003i</v>
      </c>
      <c r="BT117" s="4">
        <f>IMABS($BS117)</f>
        <v>0.09972078544696007</v>
      </c>
      <c r="BU117" s="4">
        <f t="shared" si="5"/>
        <v>1.2215330173905399</v>
      </c>
      <c r="BV117" s="4">
        <f t="shared" si="6"/>
        <v>-0.043403430510003636</v>
      </c>
    </row>
    <row r="118" spans="1:74" ht="12.75">
      <c r="A118" s="5">
        <v>15</v>
      </c>
      <c r="B118" s="5">
        <f t="shared" si="1"/>
        <v>2.8000000000000003</v>
      </c>
      <c r="C118" s="4">
        <f t="shared" si="0"/>
        <v>0.4398229715025711</v>
      </c>
      <c r="D118" s="4">
        <f t="shared" si="2"/>
        <v>0.4257792915650727</v>
      </c>
      <c r="E118" s="5">
        <f t="shared" si="3"/>
        <v>0.9048270524660195</v>
      </c>
      <c r="F118" s="9" t="str">
        <f>IF($B$7&gt;0,COMPLEX($E118,0),1)</f>
        <v>0.904827052466019</v>
      </c>
      <c r="G118" s="9" t="str">
        <f>IF($B$7&gt;0,COMPLEX(0,$D118*$B$16),0)</f>
        <v>50.9152486282962i</v>
      </c>
      <c r="H118" s="9" t="str">
        <f>IF($B$7&gt;0,COMPLEX(0,$D118/$B$16),0)</f>
        <v>3.56058371528612E-003i</v>
      </c>
      <c r="I118" s="9" t="str">
        <f>IF($B$7&gt;0,COMPLEX($E118,0),1)</f>
        <v>0.904827052466019</v>
      </c>
      <c r="J118" s="9" t="str">
        <f>IF($B$7&gt;1,COMPLEX($E118,0),1)</f>
        <v>0.904827052466019</v>
      </c>
      <c r="K118" s="9" t="str">
        <f>IF($B$7&gt;1,COMPLEX(0,$D118*$B$17),0)</f>
        <v>60.8851250926801i</v>
      </c>
      <c r="L118" s="9" t="str">
        <f>IF($B$7&gt;1,COMPLEX(0,$D118/$B$17),0)</f>
        <v>2.97754180269313E-003i</v>
      </c>
      <c r="M118" s="9" t="str">
        <f>IF($B$7&gt;1,COMPLEX($E118,0),1)</f>
        <v>0.904827052466019</v>
      </c>
      <c r="N118" s="9" t="str">
        <f>IF($B$7&gt;2,COMPLEX($E118,0),1)</f>
        <v>0.904827052466019</v>
      </c>
      <c r="O118" s="9" t="str">
        <f>IF($B$7&gt;2,COMPLEX(0,$D118*$B$18),0)</f>
        <v>72.8072347169319i</v>
      </c>
      <c r="P118" s="9" t="str">
        <f>IF($B$7&gt;2,COMPLEX(0,$D118/$B$18),0)</f>
        <v>2.48997240219996E-003i</v>
      </c>
      <c r="Q118" s="9" t="str">
        <f>IF($B$7&gt;2,COMPLEX($E118,0),1)</f>
        <v>0.904827052466019</v>
      </c>
      <c r="R118" s="9" t="str">
        <f>IF($B$7&gt;3,COMPLEX($E118,0),1)</f>
        <v>0.904827052466019</v>
      </c>
      <c r="S118" s="9" t="str">
        <f>IF($B$7&gt;3,COMPLEX(0,$D118*$B$19),0)</f>
        <v>87.0638504734502i</v>
      </c>
      <c r="T118" s="9" t="str">
        <f>IF($B$7&gt;3,COMPLEX(0,$D118/$B$19),0)</f>
        <v>2.0822419883777E-003i</v>
      </c>
      <c r="U118" s="9" t="str">
        <f>IF($B$7&gt;3,COMPLEX($E118,0),1)</f>
        <v>0.904827052466019</v>
      </c>
      <c r="V118" s="9" t="str">
        <f>IF($B$7&gt;4,COMPLEX($E118,0),1)</f>
        <v>0.904827052466019</v>
      </c>
      <c r="W118" s="9" t="str">
        <f>IF($B$7&gt;4,COMPLEX(0,$D118*$B$20),0)</f>
        <v>104.112099418885i</v>
      </c>
      <c r="X118" s="9" t="str">
        <f>IF($B$7&gt;4,COMPLEX(0,$D118/$B$20),0)</f>
        <v>1.741277009469E-003i</v>
      </c>
      <c r="Y118" s="9" t="str">
        <f>IF($B$7&gt;4,COMPLEX($E118,0),1)</f>
        <v>0.904827052466019</v>
      </c>
      <c r="Z118" s="9" t="str">
        <f>IF($B$7&gt;5,COMPLEX($E118,0),1)</f>
        <v>0.904827052466019</v>
      </c>
      <c r="AA118" s="9" t="str">
        <f>IF($B$7&gt;5,COMPLEX(0,$D118*$B$21),0)</f>
        <v>124.498620109998i</v>
      </c>
      <c r="AB118" s="9" t="str">
        <f>IF($B$7&gt;5,COMPLEX(0,$D118/$B$21),0)</f>
        <v>1.45614469433864E-003i</v>
      </c>
      <c r="AC118" s="9" t="str">
        <f>IF($B$7&gt;5,COMPLEX($E118,0),1)</f>
        <v>0.904827052466019</v>
      </c>
      <c r="AD118" s="9" t="str">
        <f>IF($B$7&gt;6,COMPLEX($E118,0),1)</f>
        <v>0.904827052466019</v>
      </c>
      <c r="AE118" s="9" t="str">
        <f>IF($B$7&gt;6,COMPLEX(0,$D118*$B$22),0)</f>
        <v>148.877090134656i</v>
      </c>
      <c r="AF118" s="9" t="str">
        <f>IF($B$7&gt;6,COMPLEX(0,$D118/$B$22),0)</f>
        <v>1.2177025018536E-003i</v>
      </c>
      <c r="AG118" s="9" t="str">
        <f>IF($B$7&gt;6,COMPLEX($E118,0),1)</f>
        <v>0.904827052466019</v>
      </c>
      <c r="AH118" s="9" t="str">
        <f>IF($B$7&gt;7,COMPLEX($E118,0),1)</f>
        <v>0.904827052466019</v>
      </c>
      <c r="AI118" s="9" t="str">
        <f>IF($B$7&gt;7,COMPLEX(0,$D118*$B$23),0)</f>
        <v>178.029185764306i</v>
      </c>
      <c r="AJ118" s="9" t="str">
        <f>IF($B$7&gt;7,COMPLEX(0,$D118/$B$23),0)</f>
        <v>1.01830497256592E-003i</v>
      </c>
      <c r="AK118" s="9" t="str">
        <f>IF($B$7&gt;7,COMPLEX($E118,0),1)</f>
        <v>0.904827052466019</v>
      </c>
      <c r="AL118" s="4" t="str">
        <f>IMSUM(IMPRODUCT(F118,J118),IMPRODUCT(G118,L118))</f>
        <v>0.667109713689078</v>
      </c>
      <c r="AM118" s="5" t="str">
        <f>IMSUM(IMPRODUCT(F118,K118),IMPRODUCT(G118,M118))</f>
        <v>101.16000261855i</v>
      </c>
      <c r="AN118" s="5" t="str">
        <f>IMSUM(IMPRODUCT(H118,J118),IMPRODUCT(I118,L118))</f>
        <v>5.91587284108603E-003i</v>
      </c>
      <c r="AO118" s="5" t="str">
        <f>IMSUM(IMPRODUCT(H118,K118),IMPRODUCT(I118,M118))</f>
        <v>0.601925409966189</v>
      </c>
      <c r="AP118" s="4" t="str">
        <f>IMSUM(IMPRODUCT(AL118,N118),IMPRODUCT(AM118,P118))</f>
        <v>0.351733301182073</v>
      </c>
      <c r="AQ118" s="5" t="str">
        <f>IMSUM(IMPRODUCT(AL118,O118),IMPRODUCT(AM118,Q118))</f>
        <v>140.102720503303i</v>
      </c>
      <c r="AR118" s="5" t="str">
        <f>IMSUM(IMPRODUCT(AN118,N118),IMPRODUCT(AO118,P118))</f>
        <v>6.85161944456236E-003i</v>
      </c>
      <c r="AS118" s="5" t="str">
        <f>IMSUM(IMPRODUCT(AN118,O118),IMPRODUCT(AO118,Q118))</f>
        <v>0.113920052007634</v>
      </c>
      <c r="AT118" s="4" t="str">
        <f>IMSUM(IMPRODUCT(AP118,R118),IMPRODUCT(AQ118,T118))</f>
        <v>2.6530038844795E-002</v>
      </c>
      <c r="AU118" s="5" t="str">
        <f>IMSUM(IMPRODUCT(AP118,S118),IMPRODUCT(AQ118,U118))</f>
        <v>157.391987176123i</v>
      </c>
      <c r="AV118" s="5" t="str">
        <f>IMSUM(IMPRODUCT(AR118,R118),IMPRODUCT(AS118,T118))</f>
        <v>6.43673974225069E-003i</v>
      </c>
      <c r="AW118" s="5" t="str">
        <f>IMSUM(IMPRODUCT(AR118,S118),IMPRODUCT(AS118,U118))</f>
        <v>-0.493450425947518</v>
      </c>
      <c r="AX118" s="4" t="str">
        <f>IMSUM(IMPRODUCT(AT118,V118),IMPRODUCT(AU118,X118))</f>
        <v>-0.250057951894678</v>
      </c>
      <c r="AY118" s="5" t="str">
        <f>IMSUM(IMPRODUCT(AT118,W118),IMPRODUCT(AU118,Y118))</f>
        <v>145.174625880137i</v>
      </c>
      <c r="AZ118" s="5" t="str">
        <f>IMSUM(IMPRODUCT(AV118,V118),IMPRODUCT(AW118,X118))</f>
        <v>4.96490236645647E-003i</v>
      </c>
      <c r="BA118" s="5" t="str">
        <f>IMSUM(IMPRODUCT(AV118,W118),IMPRODUCT(AW118,Y118))</f>
        <v>-1.11662978242689</v>
      </c>
      <c r="BB118" s="4" t="str">
        <f>IMSUM(IMPRODUCT(AX118,Z118),IMPRODUCT(AY118,AB118))</f>
        <v>-0.437654460786509</v>
      </c>
      <c r="BC118" s="5" t="str">
        <f>IMSUM(IMPRODUCT(AX118,AA118),IMPRODUCT(AY118,AC118))</f>
        <v>100.226058869561i</v>
      </c>
      <c r="BD118" s="5" t="str">
        <f>IMSUM(IMPRODUCT(AZ118,Z118),IMPRODUCT(BA118,AB118))</f>
        <v>2.86640344080094E-003i</v>
      </c>
      <c r="BE118" s="5" t="str">
        <f>IMSUM(IMPRODUCT(AZ118,AA118),IMPRODUCT(BA118,AC118))</f>
        <v>-1.62848032833379</v>
      </c>
      <c r="BF118" s="4" t="str">
        <f>IMSUM(IMPRODUCT(BB118,AD118),IMPRODUCT(BC118,AF118))</f>
        <v>-0.518047118388453</v>
      </c>
      <c r="BG118" s="5" t="str">
        <f>IMSUM(IMPRODUCT(BB118,AE118),IMPRODUCT(BC118,AG118))</f>
        <v>25.5305268208832i</v>
      </c>
      <c r="BH118" s="5" t="str">
        <f>IMSUM(IMPRODUCT(BD118,AD118),IMPRODUCT(BE118,AF118))</f>
        <v>6.1059480648694E-004i</v>
      </c>
      <c r="BI118" s="5" t="str">
        <f>IMSUM(IMPRODUCT(BD118,AE118),IMPRODUCT(BE118,AG118))</f>
        <v>-1.90023485890357</v>
      </c>
      <c r="BJ118" s="4" t="str">
        <f>IMSUM(IMPRODUCT(BF118,AH118),IMPRODUCT(BG118,AJ118))</f>
        <v>-0.494740909583872</v>
      </c>
      <c r="BK118" s="5" t="str">
        <f>IMSUM(IMPRODUCT(BF118,AI118),IMPRODUCT(BG118,AK118))</f>
        <v>-69.1267953429969i</v>
      </c>
      <c r="BL118" s="5" t="str">
        <f>IMSUM(IMPRODUCT(BH118,AH118),IMPRODUCT(BI118,AJ118))</f>
        <v>-1.38253590685996E-003i</v>
      </c>
      <c r="BM118" s="5" t="str">
        <f>IMSUM(IMPRODUCT(BH118,AI118),IMPRODUCT(BI118,AK118))</f>
        <v>-1.82808760260568</v>
      </c>
      <c r="BN118" s="4">
        <f t="shared" si="4"/>
        <v>500</v>
      </c>
      <c r="BO118" s="4">
        <v>1</v>
      </c>
      <c r="BP118" s="4" t="str">
        <f>IMSUM(IMPRODUCT($BJ118,$BN118),IMPRODUCT($BK118,$BO118))</f>
        <v>-247.370454791936-69.1267953429969i</v>
      </c>
      <c r="BQ118" s="4" t="str">
        <f>IMSUM(IMPRODUCT($BL118,$BN118),IMPRODUCT($BM118,$BO118))</f>
        <v>-1.82808760260568-0.69126795342998i</v>
      </c>
      <c r="BR118" s="4" t="str">
        <f>IMDIV($BP118,$BQ118)</f>
        <v>130.898424844066-11.6838442948382i</v>
      </c>
      <c r="BS118" s="4" t="str">
        <f>IMDIV(IMSUB($BQ$100,$BR118),IMSUM($BQ$100,$BR118))</f>
        <v>-0.136030475799277+4.37182947569428E-002i</v>
      </c>
      <c r="BT118" s="4">
        <f>IMABS($BS118)</f>
        <v>0.14288309781997524</v>
      </c>
      <c r="BU118" s="4">
        <f t="shared" si="5"/>
        <v>1.333403990649492</v>
      </c>
      <c r="BV118" s="4">
        <f t="shared" si="6"/>
        <v>-0.08958130659033062</v>
      </c>
    </row>
    <row r="119" spans="1:74" ht="12.75">
      <c r="A119" s="5">
        <v>16</v>
      </c>
      <c r="B119" s="5">
        <f t="shared" si="1"/>
        <v>3</v>
      </c>
      <c r="C119" s="4">
        <f t="shared" si="0"/>
        <v>0.47123889803846897</v>
      </c>
      <c r="D119" s="4">
        <f t="shared" si="2"/>
        <v>0.4539904997395468</v>
      </c>
      <c r="E119" s="5">
        <f t="shared" si="3"/>
        <v>0.8910065241883679</v>
      </c>
      <c r="F119" s="9" t="str">
        <f>IF($B$7&gt;0,COMPLEX($E119,0),1)</f>
        <v>0.891006524188368</v>
      </c>
      <c r="G119" s="9" t="str">
        <f>IF($B$7&gt;0,COMPLEX(0,$D119*$B$16),0)</f>
        <v>54.2887820686571i</v>
      </c>
      <c r="H119" s="9" t="str">
        <f>IF($B$7&gt;0,COMPLEX(0,$D119/$B$16),0)</f>
        <v>3.79650023448871E-003i</v>
      </c>
      <c r="I119" s="9" t="str">
        <f>IF($B$7&gt;0,COMPLEX($E119,0),1)</f>
        <v>0.891006524188368</v>
      </c>
      <c r="J119" s="9" t="str">
        <f>IF($B$7&gt;1,COMPLEX($E119,0),1)</f>
        <v>0.891006524188368</v>
      </c>
      <c r="K119" s="9" t="str">
        <f>IF($B$7&gt;1,COMPLEX(0,$D119*$B$17),0)</f>
        <v>64.9192408252814i</v>
      </c>
      <c r="L119" s="9" t="str">
        <f>IF($B$7&gt;1,COMPLEX(0,$D119/$B$17),0)</f>
        <v>3.17482723509452E-003i</v>
      </c>
      <c r="M119" s="9" t="str">
        <f>IF($B$7&gt;1,COMPLEX($E119,0),1)</f>
        <v>0.891006524188368</v>
      </c>
      <c r="N119" s="9" t="str">
        <f>IF($B$7&gt;2,COMPLEX($E119,0),1)</f>
        <v>0.891006524188368</v>
      </c>
      <c r="O119" s="9" t="str">
        <f>IF($B$7&gt;2,COMPLEX(0,$D119*$B$18),0)</f>
        <v>77.6312834574358i</v>
      </c>
      <c r="P119" s="9" t="str">
        <f>IF($B$7&gt;2,COMPLEX(0,$D119/$B$18),0)</f>
        <v>2.65495254843712E-003i</v>
      </c>
      <c r="Q119" s="9" t="str">
        <f>IF($B$7&gt;2,COMPLEX($E119,0),1)</f>
        <v>0.891006524188368</v>
      </c>
      <c r="R119" s="9" t="str">
        <f>IF($B$7&gt;3,COMPLEX($E119,0),1)</f>
        <v>0.891006524188368</v>
      </c>
      <c r="S119" s="9" t="str">
        <f>IF($B$7&gt;3,COMPLEX(0,$D119*$B$19),0)</f>
        <v>92.8325115117769i</v>
      </c>
      <c r="T119" s="9" t="str">
        <f>IF($B$7&gt;3,COMPLEX(0,$D119/$B$19),0)</f>
        <v>2.22020680575486E-003i</v>
      </c>
      <c r="U119" s="9" t="str">
        <f>IF($B$7&gt;3,COMPLEX($E119,0),1)</f>
        <v>0.891006524188368</v>
      </c>
      <c r="V119" s="9" t="str">
        <f>IF($B$7&gt;4,COMPLEX($E119,0),1)</f>
        <v>0.891006524188368</v>
      </c>
      <c r="W119" s="9" t="str">
        <f>IF($B$7&gt;4,COMPLEX(0,$D119*$B$20),0)</f>
        <v>111.010340287743i</v>
      </c>
      <c r="X119" s="9" t="str">
        <f>IF($B$7&gt;4,COMPLEX(0,$D119/$B$20),0)</f>
        <v>1.85665023023554E-003i</v>
      </c>
      <c r="Y119" s="9" t="str">
        <f>IF($B$7&gt;4,COMPLEX($E119,0),1)</f>
        <v>0.891006524188368</v>
      </c>
      <c r="Z119" s="9" t="str">
        <f>IF($B$7&gt;5,COMPLEX($E119,0),1)</f>
        <v>0.891006524188368</v>
      </c>
      <c r="AA119" s="9" t="str">
        <f>IF($B$7&gt;5,COMPLEX(0,$D119*$B$21),0)</f>
        <v>132.747627421856i</v>
      </c>
      <c r="AB119" s="9" t="str">
        <f>IF($B$7&gt;5,COMPLEX(0,$D119/$B$21),0)</f>
        <v>1.55262566914872E-003i</v>
      </c>
      <c r="AC119" s="9" t="str">
        <f>IF($B$7&gt;5,COMPLEX($E119,0),1)</f>
        <v>0.891006524188368</v>
      </c>
      <c r="AD119" s="9" t="str">
        <f>IF($B$7&gt;6,COMPLEX($E119,0),1)</f>
        <v>0.891006524188368</v>
      </c>
      <c r="AE119" s="9" t="str">
        <f>IF($B$7&gt;6,COMPLEX(0,$D119*$B$22),0)</f>
        <v>158.741361754726i</v>
      </c>
      <c r="AF119" s="9" t="str">
        <f>IF($B$7&gt;6,COMPLEX(0,$D119/$B$22),0)</f>
        <v>1.29838481650563E-003i</v>
      </c>
      <c r="AG119" s="9" t="str">
        <f>IF($B$7&gt;6,COMPLEX($E119,0),1)</f>
        <v>0.891006524188368</v>
      </c>
      <c r="AH119" s="9" t="str">
        <f>IF($B$7&gt;7,COMPLEX($E119,0),1)</f>
        <v>0.891006524188368</v>
      </c>
      <c r="AI119" s="9" t="str">
        <f>IF($B$7&gt;7,COMPLEX(0,$D119*$B$23),0)</f>
        <v>189.825011724436i</v>
      </c>
      <c r="AJ119" s="9" t="str">
        <f>IF($B$7&gt;7,COMPLEX(0,$D119/$B$23),0)</f>
        <v>1.08577564137314E-003i</v>
      </c>
      <c r="AK119" s="9" t="str">
        <f>IF($B$7&gt;7,COMPLEX($E119,0),1)</f>
        <v>0.891006524188368</v>
      </c>
      <c r="AL119" s="4" t="str">
        <f>IMSUM(IMPRODUCT(F119,J119),IMPRODUCT(G119,L119))</f>
        <v>0.621535122274553</v>
      </c>
      <c r="AM119" s="5" t="str">
        <f>IMSUM(IMPRODUCT(F119,K119),IMPRODUCT(G119,M119))</f>
        <v>106.215126134096i</v>
      </c>
      <c r="AN119" s="5" t="str">
        <f>IMSUM(IMPRODUCT(H119,J119),IMPRODUCT(I119,L119))</f>
        <v>6.21149825765225E-003i</v>
      </c>
      <c r="AO119" s="5" t="str">
        <f>IMSUM(IMPRODUCT(H119,K119),IMPRODUCT(I119,M119))</f>
        <v>0.547426713130227</v>
      </c>
      <c r="AP119" s="4" t="str">
        <f>IMSUM(IMPRODUCT(AL119,N119),IMPRODUCT(AM119,P119))</f>
        <v>0.271795729146554</v>
      </c>
      <c r="AQ119" s="5" t="str">
        <f>IMSUM(IMPRODUCT(AL119,O119),IMPRODUCT(AM119,Q119))</f>
        <v>142.888939609018i</v>
      </c>
      <c r="AR119" s="5" t="str">
        <f>IMSUM(IMPRODUCT(AN119,N119),IMPRODUCT(AO119,P119))</f>
        <v>6.98787741966049E-003i</v>
      </c>
      <c r="AS119" s="5" t="str">
        <f>IMSUM(IMPRODUCT(AN119,O119),IMPRODUCT(AO119,Q119))</f>
        <v>5.55419097885596E-003</v>
      </c>
      <c r="AT119" s="4" t="str">
        <f>IMSUM(IMPRODUCT(AP119,R119),IMPRODUCT(AQ119,T119))</f>
        <v>-7.5071228270923E-002</v>
      </c>
      <c r="AU119" s="5" t="str">
        <f>IMSUM(IMPRODUCT(AP119,S119),IMPRODUCT(AQ119,U119))</f>
        <v>152.546457580842i</v>
      </c>
      <c r="AV119" s="5" t="str">
        <f>IMSUM(IMPRODUCT(AR119,R119),IMPRODUCT(AS119,T119))</f>
        <v>6.2385758237578E-003i</v>
      </c>
      <c r="AW119" s="5" t="str">
        <f>IMSUM(IMPRODUCT(AR119,S119),IMPRODUCT(AS119,U119))</f>
        <v>-0.643753390604769</v>
      </c>
      <c r="AX119" s="4" t="str">
        <f>IMSUM(IMPRODUCT(AT119,V119),IMPRODUCT(AU119,X119))</f>
        <v>-0.350114369757313</v>
      </c>
      <c r="AY119" s="5" t="str">
        <f>IMSUM(IMPRODUCT(AT119,W119),IMPRODUCT(AU119,Y119))</f>
        <v>127.58620635018i</v>
      </c>
      <c r="AZ119" s="5" t="str">
        <f>IMSUM(IMPRODUCT(AV119,V119),IMPRODUCT(AW119,X119))</f>
        <v>4.36338687973077E-003i</v>
      </c>
      <c r="BA119" s="5" t="str">
        <f>IMSUM(IMPRODUCT(AV119,W119),IMPRODUCT(AW119,Y119))</f>
        <v>-1.26613489610347</v>
      </c>
      <c r="BB119" s="4" t="str">
        <f>IMSUM(IMPRODUCT(AX119,Z119),IMPRODUCT(AY119,AB119))</f>
        <v>-0.51004780667446</v>
      </c>
      <c r="BC119" s="5" t="str">
        <f>IMSUM(IMPRODUCT(AX119,AA119),IMPRODUCT(AY119,AC119))</f>
        <v>67.2032903428723i</v>
      </c>
      <c r="BD119" s="5" t="str">
        <f>IMSUM(IMPRODUCT(AZ119,Z119),IMPRODUCT(BA119,AB119))</f>
        <v>1.92197263710284E-003i</v>
      </c>
      <c r="BE119" s="5" t="str">
        <f>IMSUM(IMPRODUCT(AZ119,AA119),IMPRODUCT(BA119,AC119))</f>
        <v>-1.70736370873867</v>
      </c>
      <c r="BF119" s="4" t="str">
        <f>IMSUM(IMPRODUCT(BB119,AD119),IMPRODUCT(BC119,AF119))</f>
        <v>-0.541711655195316</v>
      </c>
      <c r="BG119" s="5" t="str">
        <f>IMSUM(IMPRODUCT(BB119,AE119),IMPRODUCT(BC119,AG119))</f>
        <v>-21.0871132490906i</v>
      </c>
      <c r="BH119" s="5" t="str">
        <f>IMSUM(IMPRODUCT(BD119,AD119),IMPRODUCT(BE119,AF119))</f>
        <v>-5.0432495670888E-004i</v>
      </c>
      <c r="BI119" s="5" t="str">
        <f>IMSUM(IMPRODUCT(BD119,AE119),IMPRODUCT(BE119,AG119))</f>
        <v>-1.82636875731763</v>
      </c>
      <c r="BJ119" s="4" t="str">
        <f>IMSUM(IMPRODUCT(BF119,AH119),IMPRODUCT(BG119,AJ119))</f>
        <v>-0.459772745095167</v>
      </c>
      <c r="BK119" s="5" t="str">
        <f>IMSUM(IMPRODUCT(BF119,AI119),IMPRODUCT(BG119,AK119))</f>
        <v>-121.619176779954i</v>
      </c>
      <c r="BL119" s="5" t="str">
        <f>IMSUM(IMPRODUCT(BH119,AH119),IMPRODUCT(BI119,AJ119))</f>
        <v>-2.43238353559904E-003i</v>
      </c>
      <c r="BM119" s="5" t="str">
        <f>IMSUM(IMPRODUCT(BH119,AI119),IMPRODUCT(BI119,AK119))</f>
        <v>-1.53157298752362</v>
      </c>
      <c r="BN119" s="4">
        <f t="shared" si="4"/>
        <v>500</v>
      </c>
      <c r="BO119" s="4">
        <v>1</v>
      </c>
      <c r="BP119" s="4" t="str">
        <f>IMSUM(IMPRODUCT($BJ119,$BN119),IMPRODUCT($BK119,$BO119))</f>
        <v>-229.886372547584-121.619176779954i</v>
      </c>
      <c r="BQ119" s="4" t="str">
        <f>IMSUM(IMPRODUCT($BL119,$BN119),IMPRODUCT($BM119,$BO119))</f>
        <v>-1.53157298752362-1.21619176779952i</v>
      </c>
      <c r="BR119" s="4" t="str">
        <f>IMDIV($BP119,$BQ119)</f>
        <v>130.724482879799-24.3977031801301i</v>
      </c>
      <c r="BS119" s="4" t="str">
        <f>IMDIV(IMSUB($BQ$100,$BR119),IMSUM($BQ$100,$BR119))</f>
        <v>-0.142750810152712+9.06488597319653E-002i</v>
      </c>
      <c r="BT119" s="4">
        <f>IMABS($BS119)</f>
        <v>0.16910059009347406</v>
      </c>
      <c r="BU119" s="4">
        <f t="shared" si="5"/>
        <v>1.4070302327269615</v>
      </c>
      <c r="BV119" s="4">
        <f t="shared" si="6"/>
        <v>-0.12599669742269118</v>
      </c>
    </row>
    <row r="120" spans="1:74" ht="12.75">
      <c r="A120" s="5">
        <v>17</v>
      </c>
      <c r="B120" s="5">
        <f t="shared" si="1"/>
        <v>3.2</v>
      </c>
      <c r="C120" s="4">
        <f t="shared" si="0"/>
        <v>0.5026548245743669</v>
      </c>
      <c r="D120" s="4">
        <f t="shared" si="2"/>
        <v>0.48175367410171527</v>
      </c>
      <c r="E120" s="5">
        <f t="shared" si="3"/>
        <v>0.8763066800438636</v>
      </c>
      <c r="F120" s="9" t="str">
        <f>IF($B$7&gt;0,COMPLEX($E120,0),1)</f>
        <v>0.876306680043864</v>
      </c>
      <c r="G120" s="9" t="str">
        <f>IF($B$7&gt;0,COMPLEX(0,$D120*$B$16),0)</f>
        <v>57.6087390354804i</v>
      </c>
      <c r="H120" s="9" t="str">
        <f>IF($B$7&gt;0,COMPLEX(0,$D120/$B$16),0)</f>
        <v>4.0286700663169E-003i</v>
      </c>
      <c r="I120" s="9" t="str">
        <f>IF($B$7&gt;0,COMPLEX($E120,0),1)</f>
        <v>0.876306680043864</v>
      </c>
      <c r="J120" s="9" t="str">
        <f>IF($B$7&gt;1,COMPLEX($E120,0),1)</f>
        <v>0.876306680043864</v>
      </c>
      <c r="K120" s="9" t="str">
        <f>IF($B$7&gt;1,COMPLEX(0,$D120*$B$17),0)</f>
        <v>68.8892891049831i</v>
      </c>
      <c r="L120" s="9" t="str">
        <f>IF($B$7&gt;1,COMPLEX(0,$D120/$B$17),0)</f>
        <v>3.36897949631641E-003i</v>
      </c>
      <c r="M120" s="9" t="str">
        <f>IF($B$7&gt;1,COMPLEX($E120,0),1)</f>
        <v>0.876306680043864</v>
      </c>
      <c r="N120" s="9" t="str">
        <f>IF($B$7&gt;2,COMPLEX($E120,0),1)</f>
        <v>0.876306680043864</v>
      </c>
      <c r="O120" s="9" t="str">
        <f>IF($B$7&gt;2,COMPLEX(0,$D120*$B$18),0)</f>
        <v>82.3787194937057i</v>
      </c>
      <c r="P120" s="9" t="str">
        <f>IF($B$7&gt;2,COMPLEX(0,$D120/$B$18),0)</f>
        <v>2.81731257704527E-003i</v>
      </c>
      <c r="Q120" s="9" t="str">
        <f>IF($B$7&gt;2,COMPLEX($E120,0),1)</f>
        <v>0.876306680043864</v>
      </c>
      <c r="R120" s="9" t="str">
        <f>IF($B$7&gt;3,COMPLEX($E120,0),1)</f>
        <v>0.876306680043864</v>
      </c>
      <c r="S120" s="9" t="str">
        <f>IF($B$7&gt;3,COMPLEX(0,$D120*$B$19),0)</f>
        <v>98.5095580690464i</v>
      </c>
      <c r="T120" s="9" t="str">
        <f>IF($B$7&gt;3,COMPLEX(0,$D120/$B$19),0)</f>
        <v>2.35598054706356E-003i</v>
      </c>
      <c r="U120" s="9" t="str">
        <f>IF($B$7&gt;3,COMPLEX($E120,0),1)</f>
        <v>0.876306680043864</v>
      </c>
      <c r="V120" s="9" t="str">
        <f>IF($B$7&gt;4,COMPLEX($E120,0),1)</f>
        <v>0.876306680043864</v>
      </c>
      <c r="W120" s="9" t="str">
        <f>IF($B$7&gt;4,COMPLEX(0,$D120*$B$20),0)</f>
        <v>117.799027353178i</v>
      </c>
      <c r="X120" s="9" t="str">
        <f>IF($B$7&gt;4,COMPLEX(0,$D120/$B$20),0)</f>
        <v>1.97019116138093E-003i</v>
      </c>
      <c r="Y120" s="9" t="str">
        <f>IF($B$7&gt;4,COMPLEX($E120,0),1)</f>
        <v>0.876306680043864</v>
      </c>
      <c r="Z120" s="9" t="str">
        <f>IF($B$7&gt;5,COMPLEX($E120,0),1)</f>
        <v>0.876306680043864</v>
      </c>
      <c r="AA120" s="9" t="str">
        <f>IF($B$7&gt;5,COMPLEX(0,$D120*$B$21),0)</f>
        <v>140.865628852264i</v>
      </c>
      <c r="AB120" s="9" t="str">
        <f>IF($B$7&gt;5,COMPLEX(0,$D120/$B$21),0)</f>
        <v>1.64757438987412E-003i</v>
      </c>
      <c r="AC120" s="9" t="str">
        <f>IF($B$7&gt;5,COMPLEX($E120,0),1)</f>
        <v>0.876306680043864</v>
      </c>
      <c r="AD120" s="9" t="str">
        <f>IF($B$7&gt;6,COMPLEX($E120,0),1)</f>
        <v>0.876306680043864</v>
      </c>
      <c r="AE120" s="9" t="str">
        <f>IF($B$7&gt;6,COMPLEX(0,$D120*$B$22),0)</f>
        <v>168.448974815821i</v>
      </c>
      <c r="AF120" s="9" t="str">
        <f>IF($B$7&gt;6,COMPLEX(0,$D120/$B$22),0)</f>
        <v>1.37778578209966E-003i</v>
      </c>
      <c r="AG120" s="9" t="str">
        <f>IF($B$7&gt;6,COMPLEX($E120,0),1)</f>
        <v>0.876306680043864</v>
      </c>
      <c r="AH120" s="9" t="str">
        <f>IF($B$7&gt;7,COMPLEX($E120,0),1)</f>
        <v>0.876306680043864</v>
      </c>
      <c r="AI120" s="9" t="str">
        <f>IF($B$7&gt;7,COMPLEX(0,$D120*$B$23),0)</f>
        <v>201.433503315845i</v>
      </c>
      <c r="AJ120" s="9" t="str">
        <f>IF($B$7&gt;7,COMPLEX(0,$D120/$B$23),0)</f>
        <v>1.15217478070961E-003i</v>
      </c>
      <c r="AK120" s="9" t="str">
        <f>IF($B$7&gt;7,COMPLEX($E120,0),1)</f>
        <v>0.876306680043864</v>
      </c>
      <c r="AL120" s="4" t="str">
        <f>IMSUM(IMPRODUCT(F120,J120),IMPRODUCT(G120,L120))</f>
        <v>0.573830736870323</v>
      </c>
      <c r="AM120" s="5" t="str">
        <f>IMSUM(IMPRODUCT(F120,K120),IMPRODUCT(G120,M120))</f>
        <v>110.851067071865i</v>
      </c>
      <c r="AN120" s="5" t="str">
        <f>IMSUM(IMPRODUCT(H120,J120),IMPRODUCT(I120,L120))</f>
        <v>6.48260972835914E-003i</v>
      </c>
      <c r="AO120" s="5" t="str">
        <f>IMSUM(IMPRODUCT(H120,K120),IMPRODUCT(I120,M120))</f>
        <v>0.490381180582403</v>
      </c>
      <c r="AP120" s="4" t="str">
        <f>IMSUM(IMPRODUCT(AL120,N120),IMPRODUCT(AM120,P120))</f>
        <v>0.190549602493503</v>
      </c>
      <c r="AQ120" s="5" t="str">
        <f>IMSUM(IMPRODUCT(AL120,O120),IMPRODUCT(AM120,Q120))</f>
        <v>144.410971874573i</v>
      </c>
      <c r="AR120" s="5" t="str">
        <f>IMSUM(IMPRODUCT(AN120,N120),IMPRODUCT(AO120,P120))</f>
        <v>7.06231127667956E-003i</v>
      </c>
      <c r="AS120" s="5" t="str">
        <f>IMSUM(IMPRODUCT(AN120,O120),IMPRODUCT(AO120,Q120))</f>
        <v>-0.104304784087509</v>
      </c>
      <c r="AT120" s="4" t="str">
        <f>IMSUM(IMPRODUCT(AP120,R120),IMPRODUCT(AQ120,T120))</f>
        <v>-0.173249550974277</v>
      </c>
      <c r="AU120" s="5" t="str">
        <f>IMSUM(IMPRODUCT(AP120,S120),IMPRODUCT(AQ120,U120))</f>
        <v>145.319256457182i</v>
      </c>
      <c r="AV120" s="5" t="str">
        <f>IMSUM(IMPRODUCT(AR120,R120),IMPRODUCT(AS120,T120))</f>
        <v>5.94301050602757E-003i</v>
      </c>
      <c r="AW120" s="5" t="str">
        <f>IMSUM(IMPRODUCT(AR120,S120),IMPRODUCT(AS120,U120))</f>
        <v>-0.787108141868163</v>
      </c>
      <c r="AX120" s="4" t="str">
        <f>IMSUM(IMPRODUCT(AT120,V120),IMPRODUCT(AU120,X120))</f>
        <v>-0.438126453483748</v>
      </c>
      <c r="AY120" s="5" t="str">
        <f>IMSUM(IMPRODUCT(AT120,W120),IMPRODUCT(AU120,Y120))</f>
        <v>106.935606578291i</v>
      </c>
      <c r="AZ120" s="5" t="str">
        <f>IMSUM(IMPRODUCT(AV120,V120),IMPRODUCT(AW120,X120))</f>
        <v>3.6571463018432E-003i</v>
      </c>
      <c r="BA120" s="5" t="str">
        <f>IMSUM(IMPRODUCT(AV120,W120),IMPRODUCT(AW120,Y120))</f>
        <v>-1.38982897979575</v>
      </c>
      <c r="BB120" s="4" t="str">
        <f>IMSUM(IMPRODUCT(AX120,Z120),IMPRODUCT(AY120,AB120))</f>
        <v>-0.560117504655783</v>
      </c>
      <c r="BC120" s="5" t="str">
        <f>IMSUM(IMPRODUCT(AX120,AA120),IMPRODUCT(AY120,AC120))</f>
        <v>31.9914279922986i</v>
      </c>
      <c r="BD120" s="5" t="str">
        <f>IMSUM(IMPRODUCT(AZ120,Z120),IMPRODUCT(BA120,AB120))</f>
        <v>9.1493510078656E-004i</v>
      </c>
      <c r="BE120" s="5" t="str">
        <f>IMSUM(IMPRODUCT(AZ120,AA120),IMPRODUCT(BA120,AC120))</f>
        <v>-1.73308263272743</v>
      </c>
      <c r="BF120" s="4" t="str">
        <f>IMSUM(IMPRODUCT(BB120,AD120),IMPRODUCT(BC120,AF120))</f>
        <v>-0.534912045576217</v>
      </c>
      <c r="BG120" s="5" t="str">
        <f>IMSUM(IMPRODUCT(BB120,AE120),IMPRODUCT(BC120,AG120))</f>
        <v>-66.316917381869i</v>
      </c>
      <c r="BH120" s="5" t="str">
        <f>IMSUM(IMPRODUCT(BD120,AD120),IMPRODUCT(BE120,AF120))</f>
        <v>-1.58605286994983E-003i</v>
      </c>
      <c r="BI120" s="5" t="str">
        <f>IMSUM(IMPRODUCT(BD120,AE120),IMPRODUCT(BE120,AG120))</f>
        <v>-1.67283176787756</v>
      </c>
      <c r="BJ120" s="4" t="str">
        <f>IMSUM(IMPRODUCT(BF120,AH120),IMPRODUCT(BG120,AJ120))</f>
        <v>-0.392338319032575</v>
      </c>
      <c r="BK120" s="5" t="str">
        <f>IMSUM(IMPRODUCT(BF120,AI120),IMPRODUCT(BG120,AK120))</f>
        <v>-165.863165007911i</v>
      </c>
      <c r="BL120" s="5" t="str">
        <f>IMSUM(IMPRODUCT(BH120,AH120),IMPRODUCT(BI120,AJ120))</f>
        <v>-3.31726330015818E-003i</v>
      </c>
      <c r="BM120" s="5" t="str">
        <f>IMSUM(IMPRODUCT(BH120,AI120),IMPRODUCT(BI120,AK120))</f>
        <v>-1.14642946674255</v>
      </c>
      <c r="BN120" s="4">
        <f t="shared" si="4"/>
        <v>500</v>
      </c>
      <c r="BO120" s="4">
        <v>1</v>
      </c>
      <c r="BP120" s="4" t="str">
        <f>IMSUM(IMPRODUCT($BJ120,$BN120),IMPRODUCT($BK120,$BO120))</f>
        <v>-196.169159516287-165.863165007911i</v>
      </c>
      <c r="BQ120" s="4" t="str">
        <f>IMSUM(IMPRODUCT($BL120,$BN120),IMPRODUCT($BM120,$BO120))</f>
        <v>-1.14642946674255-1.65863165007909i</v>
      </c>
      <c r="BR120" s="4" t="str">
        <f>IMDIV($BP120,$BQ120)</f>
        <v>122.990353826765-33.2619926561518i</v>
      </c>
      <c r="BS120" s="4" t="str">
        <f>IMDIV(IMSUB($BQ$100,$BR120),IMSUM($BQ$100,$BR120))</f>
        <v>-0.122621631899078+0.130872714158349i</v>
      </c>
      <c r="BT120" s="4">
        <f>IMABS($BS120)</f>
        <v>0.17934249892528517</v>
      </c>
      <c r="BU120" s="4">
        <f t="shared" si="5"/>
        <v>1.4370702727762124</v>
      </c>
      <c r="BV120" s="4">
        <f t="shared" si="6"/>
        <v>-0.1419810744794152</v>
      </c>
    </row>
    <row r="121" spans="1:74" ht="12.75">
      <c r="A121" s="5">
        <v>18</v>
      </c>
      <c r="B121" s="5">
        <f t="shared" si="1"/>
        <v>3.4000000000000004</v>
      </c>
      <c r="C121" s="4">
        <f t="shared" si="0"/>
        <v>0.5340707511102649</v>
      </c>
      <c r="D121" s="4">
        <f t="shared" si="2"/>
        <v>0.5090414157503714</v>
      </c>
      <c r="E121" s="5">
        <f t="shared" si="3"/>
        <v>0.8607420270039435</v>
      </c>
      <c r="F121" s="9" t="str">
        <f>IF($B$7&gt;0,COMPLEX($E121,0),1)</f>
        <v>0.860742027003944</v>
      </c>
      <c r="G121" s="9" t="str">
        <f>IF($B$7&gt;0,COMPLEX(0,$D121*$B$16),0)</f>
        <v>60.8718431320631i</v>
      </c>
      <c r="H121" s="9" t="str">
        <f>IF($B$7&gt;0,COMPLEX(0,$D121/$B$16),0)</f>
        <v>4.25686408717686E-003i</v>
      </c>
      <c r="I121" s="9" t="str">
        <f>IF($B$7&gt;0,COMPLEX($E121,0),1)</f>
        <v>0.860742027003944</v>
      </c>
      <c r="J121" s="9" t="str">
        <f>IF($B$7&gt;1,COMPLEX($E121,0),1)</f>
        <v>0.860742027003944</v>
      </c>
      <c r="K121" s="9" t="str">
        <f>IF($B$7&gt;1,COMPLEX(0,$D121*$B$17),0)</f>
        <v>72.7913519734428i</v>
      </c>
      <c r="L121" s="9" t="str">
        <f>IF($B$7&gt;1,COMPLEX(0,$D121/$B$17),0)</f>
        <v>3.55980698151727E-003i</v>
      </c>
      <c r="M121" s="9" t="str">
        <f>IF($B$7&gt;1,COMPLEX($E121,0),1)</f>
        <v>0.860742027003944</v>
      </c>
      <c r="N121" s="9" t="str">
        <f>IF($B$7&gt;2,COMPLEX($E121,0),1)</f>
        <v>0.860742027003944</v>
      </c>
      <c r="O121" s="9" t="str">
        <f>IF($B$7&gt;2,COMPLEX(0,$D121*$B$18),0)</f>
        <v>87.0448576795387i</v>
      </c>
      <c r="P121" s="9" t="str">
        <f>IF($B$7&gt;2,COMPLEX(0,$D121/$B$18),0)</f>
        <v>2.97689225827815E-003i</v>
      </c>
      <c r="Q121" s="9" t="str">
        <f>IF($B$7&gt;2,COMPLEX($E121,0),1)</f>
        <v>0.860742027003944</v>
      </c>
      <c r="R121" s="9" t="str">
        <f>IF($B$7&gt;3,COMPLEX($E121,0),1)</f>
        <v>0.860742027003944</v>
      </c>
      <c r="S121" s="9" t="str">
        <f>IF($B$7&gt;3,COMPLEX(0,$D121*$B$19),0)</f>
        <v>104.089387585705i</v>
      </c>
      <c r="T121" s="9" t="str">
        <f>IF($B$7&gt;3,COMPLEX(0,$D121/$B$19),0)</f>
        <v>2.48942922001329E-003i</v>
      </c>
      <c r="U121" s="9" t="str">
        <f>IF($B$7&gt;3,COMPLEX($E121,0),1)</f>
        <v>0.860742027003944</v>
      </c>
      <c r="V121" s="9" t="str">
        <f>IF($B$7&gt;4,COMPLEX($E121,0),1)</f>
        <v>0.860742027003944</v>
      </c>
      <c r="W121" s="9" t="str">
        <f>IF($B$7&gt;4,COMPLEX(0,$D121*$B$20),0)</f>
        <v>124.471461000665i</v>
      </c>
      <c r="X121" s="9" t="str">
        <f>IF($B$7&gt;4,COMPLEX(0,$D121/$B$20),0)</f>
        <v>2.0817877517141E-003i</v>
      </c>
      <c r="Y121" s="9" t="str">
        <f>IF($B$7&gt;4,COMPLEX($E121,0),1)</f>
        <v>0.860742027003944</v>
      </c>
      <c r="Z121" s="9" t="str">
        <f>IF($B$7&gt;5,COMPLEX($E121,0),1)</f>
        <v>0.860742027003944</v>
      </c>
      <c r="AA121" s="9" t="str">
        <f>IF($B$7&gt;5,COMPLEX(0,$D121*$B$21),0)</f>
        <v>148.844612913908i</v>
      </c>
      <c r="AB121" s="9" t="str">
        <f>IF($B$7&gt;5,COMPLEX(0,$D121/$B$21),0)</f>
        <v>1.74089715359078E-003i</v>
      </c>
      <c r="AC121" s="9" t="str">
        <f>IF($B$7&gt;5,COMPLEX($E121,0),1)</f>
        <v>0.860742027003944</v>
      </c>
      <c r="AD121" s="9" t="str">
        <f>IF($B$7&gt;6,COMPLEX($E121,0),1)</f>
        <v>0.860742027003944</v>
      </c>
      <c r="AE121" s="9" t="str">
        <f>IF($B$7&gt;6,COMPLEX(0,$D121*$B$22),0)</f>
        <v>177.990349075863i</v>
      </c>
      <c r="AF121" s="9" t="str">
        <f>IF($B$7&gt;6,COMPLEX(0,$D121/$B$22),0)</f>
        <v>1.45582703946886E-003i</v>
      </c>
      <c r="AG121" s="9" t="str">
        <f>IF($B$7&gt;6,COMPLEX($E121,0),1)</f>
        <v>0.860742027003944</v>
      </c>
      <c r="AH121" s="9" t="str">
        <f>IF($B$7&gt;7,COMPLEX($E121,0),1)</f>
        <v>0.860742027003944</v>
      </c>
      <c r="AI121" s="9" t="str">
        <f>IF($B$7&gt;7,COMPLEX(0,$D121*$B$23),0)</f>
        <v>212.843204358843i</v>
      </c>
      <c r="AJ121" s="9" t="str">
        <f>IF($B$7&gt;7,COMPLEX(0,$D121/$B$23),0)</f>
        <v>1.21743686264126E-003i</v>
      </c>
      <c r="AK121" s="9" t="str">
        <f>IF($B$7&gt;7,COMPLEX($E121,0),1)</f>
        <v>0.860742027003944</v>
      </c>
      <c r="AL121" s="4" t="str">
        <f>IMSUM(IMPRODUCT(F121,J121),IMPRODUCT(G121,L121))</f>
        <v>0.524184824891516</v>
      </c>
      <c r="AM121" s="5" t="str">
        <f>IMSUM(IMPRODUCT(F121,K121),IMPRODUCT(G121,M121))</f>
        <v>115.049529490937i</v>
      </c>
      <c r="AN121" s="5" t="str">
        <f>IMSUM(IMPRODUCT(H121,J121),IMPRODUCT(I121,L121))</f>
        <v>6.72813730009087E-003i</v>
      </c>
      <c r="AO121" s="5" t="str">
        <f>IMSUM(IMPRODUCT(H121,K121),IMPRODUCT(I121,M121))</f>
        <v>0.431013944978059</v>
      </c>
      <c r="AP121" s="4" t="str">
        <f>IMSUM(IMPRODUCT(AL121,N121),IMPRODUCT(AM121,P121))</f>
        <v>0.108697855041717</v>
      </c>
      <c r="AQ121" s="5" t="str">
        <f>IMSUM(IMPRODUCT(AL121,O121),IMPRODUCT(AM121,Q121))</f>
        <v>144.655558700335i</v>
      </c>
      <c r="AR121" s="5" t="str">
        <f>IMSUM(IMPRODUCT(AN121,N121),IMPRODUCT(AO121,P121))</f>
        <v>7.07427261365617E-003i</v>
      </c>
      <c r="AS121" s="5" t="str">
        <f>IMSUM(IMPRODUCT(AN121,O121),IMPRODUCT(AO121,Q121))</f>
        <v>-0.214657937067425</v>
      </c>
      <c r="AT121" s="4" t="str">
        <f>IMSUM(IMPRODUCT(AP121,R121),IMPRODUCT(AQ121,T121))</f>
        <v>-0.266548962586374</v>
      </c>
      <c r="AU121" s="5" t="str">
        <f>IMSUM(IMPRODUCT(AP121,S121),IMPRODUCT(AQ121,U121))</f>
        <v>135.825411976286i</v>
      </c>
      <c r="AV121" s="5" t="str">
        <f>IMSUM(IMPRODUCT(AR121,R121),IMPRODUCT(AS121,T121))</f>
        <v>5.55474800821348E-003i</v>
      </c>
      <c r="AW121" s="5" t="str">
        <f>IMSUM(IMPRODUCT(AR121,S121),IMPRODUCT(AS121,U121))</f>
        <v>-0.921121811833695</v>
      </c>
      <c r="AX121" s="4" t="str">
        <f>IMSUM(IMPRODUCT(AT121,V121),IMPRODUCT(AU121,X121))</f>
        <v>-0.512189573376148</v>
      </c>
      <c r="AY121" s="5" t="str">
        <f>IMSUM(IMPRODUCT(AT121,W121),IMPRODUCT(AU121,Y121))</f>
        <v>83.7329016217764i</v>
      </c>
      <c r="AZ121" s="5" t="str">
        <f>IMSUM(IMPRODUCT(AV121,V121),IMPRODUCT(AW121,X121))</f>
        <v>2.8636249543737E-003i</v>
      </c>
      <c r="BA121" s="5" t="str">
        <f>IMSUM(IMPRODUCT(AV121,W121),IMPRODUCT(AW121,Y121))</f>
        <v>-1.48425585550815</v>
      </c>
      <c r="BB121" s="4" t="str">
        <f>IMSUM(IMPRODUCT(AX121,Z121),IMPRODUCT(AY121,AB121))</f>
        <v>-0.586633461693318</v>
      </c>
      <c r="BC121" s="5" t="str">
        <f>IMSUM(IMPRODUCT(AX121,AA121),IMPRODUCT(AY121,AC121))</f>
        <v>-4.1642313188627i</v>
      </c>
      <c r="BD121" s="5" t="str">
        <f>IMSUM(IMPRODUCT(AZ121,Z121),IMPRODUCT(BA121,AB121))</f>
        <v>-1.1909444624789E-004i</v>
      </c>
      <c r="BE121" s="5" t="str">
        <f>IMSUM(IMPRODUCT(AZ121,AA121),IMPRODUCT(BA121,AC121))</f>
        <v>-1.70379654152692</v>
      </c>
      <c r="BF121" s="4" t="str">
        <f>IMSUM(IMPRODUCT(BB121,AD121),IMPRODUCT(BC121,AF121))</f>
        <v>-0.498877674373644</v>
      </c>
      <c r="BG121" s="5" t="str">
        <f>IMSUM(IMPRODUCT(BB121,AE121),IMPRODUCT(BC121,AG121))</f>
        <v>-107.999423532687i</v>
      </c>
      <c r="BH121" s="5" t="str">
        <f>IMSUM(IMPRODUCT(BD121,AD121),IMPRODUCT(BE121,AF121))</f>
        <v>-2.58294266997674E-003i</v>
      </c>
      <c r="BI121" s="5" t="str">
        <f>IMSUM(IMPRODUCT(BD121,AE121),IMPRODUCT(BE121,AG121))</f>
        <v>-1.44533162669553</v>
      </c>
      <c r="BJ121" s="4" t="str">
        <f>IMSUM(IMPRODUCT(BF121,AH121),IMPRODUCT(BG121,AJ121))</f>
        <v>-0.297922501314685</v>
      </c>
      <c r="BK121" s="5" t="str">
        <f>IMSUM(IMPRODUCT(BF121,AI121),IMPRODUCT(BG121,AK121))</f>
        <v>-199.142365523557i</v>
      </c>
      <c r="BL121" s="5" t="str">
        <f>IMSUM(IMPRODUCT(BH121,AH121),IMPRODUCT(BI121,AJ121))</f>
        <v>-3.98284731047115E-003i</v>
      </c>
      <c r="BM121" s="5" t="str">
        <f>IMSUM(IMPRODUCT(BH121,AI121),IMPRODUCT(BI121,AK121))</f>
        <v>-0.694295879501785</v>
      </c>
      <c r="BN121" s="4">
        <f t="shared" si="4"/>
        <v>500</v>
      </c>
      <c r="BO121" s="4">
        <v>1</v>
      </c>
      <c r="BP121" s="4" t="str">
        <f>IMSUM(IMPRODUCT($BJ121,$BN121),IMPRODUCT($BK121,$BO121))</f>
        <v>-148.961250657343-199.142365523557i</v>
      </c>
      <c r="BQ121" s="4" t="str">
        <f>IMSUM(IMPRODUCT($BL121,$BN121),IMPRODUCT($BM121,$BO121))</f>
        <v>-0.694295879501785-1.99142365523558i</v>
      </c>
      <c r="BR121" s="4" t="str">
        <f>IMDIV($BP121,$BQ121)</f>
        <v>112.414748908415-35.6087734061863i</v>
      </c>
      <c r="BS121" s="4" t="str">
        <f>IMDIV(IMSUB($BQ$100,$BR121),IMSUM($BQ$100,$BR121))</f>
        <v>-8.41825396391464E-002+0.153525763135588i</v>
      </c>
      <c r="BT121" s="4">
        <f>IMABS($BS121)</f>
        <v>0.175091004698874</v>
      </c>
      <c r="BU121" s="4">
        <f t="shared" si="5"/>
        <v>1.4245098688370068</v>
      </c>
      <c r="BV121" s="4">
        <f t="shared" si="6"/>
        <v>-0.13522458799911888</v>
      </c>
    </row>
    <row r="122" spans="1:74" ht="12.75">
      <c r="A122" s="5">
        <v>19</v>
      </c>
      <c r="B122" s="5">
        <f t="shared" si="1"/>
        <v>3.6</v>
      </c>
      <c r="C122" s="4">
        <f t="shared" si="0"/>
        <v>0.5654866776461628</v>
      </c>
      <c r="D122" s="4">
        <f t="shared" si="2"/>
        <v>0.5358267949789967</v>
      </c>
      <c r="E122" s="5">
        <f t="shared" si="3"/>
        <v>0.8443279255020151</v>
      </c>
      <c r="F122" s="9" t="str">
        <f>IF($B$7&gt;0,COMPLEX($E122,0),1)</f>
        <v>0.844327925502015</v>
      </c>
      <c r="G122" s="9" t="str">
        <f>IF($B$7&gt;0,COMPLEX(0,$D122*$B$16),0)</f>
        <v>64.074874068621i</v>
      </c>
      <c r="H122" s="9" t="str">
        <f>IF($B$7&gt;0,COMPLEX(0,$D122/$B$16),0)</f>
        <v>4.4808570971202E-003i</v>
      </c>
      <c r="I122" s="9" t="str">
        <f>IF($B$7&gt;0,COMPLEX($E122,0),1)</f>
        <v>0.844327925502015</v>
      </c>
      <c r="J122" s="9" t="str">
        <f>IF($B$7&gt;1,COMPLEX($E122,0),1)</f>
        <v>0.844327925502015</v>
      </c>
      <c r="K122" s="9" t="str">
        <f>IF($B$7&gt;1,COMPLEX(0,$D122*$B$17),0)</f>
        <v>76.6215785657112i</v>
      </c>
      <c r="L122" s="9" t="str">
        <f>IF($B$7&gt;1,COMPLEX(0,$D122/$B$17),0)</f>
        <v>3.74712136700807E-003i</v>
      </c>
      <c r="M122" s="9" t="str">
        <f>IF($B$7&gt;1,COMPLEX($E122,0),1)</f>
        <v>0.844327925502015</v>
      </c>
      <c r="N122" s="9" t="str">
        <f>IF($B$7&gt;2,COMPLEX($E122,0),1)</f>
        <v>0.844327925502015</v>
      </c>
      <c r="O122" s="9" t="str">
        <f>IF($B$7&gt;2,COMPLEX(0,$D122*$B$18),0)</f>
        <v>91.625093099895i</v>
      </c>
      <c r="P122" s="9" t="str">
        <f>IF($B$7&gt;2,COMPLEX(0,$D122/$B$18),0)</f>
        <v>3.13353410625667E-003i</v>
      </c>
      <c r="Q122" s="9" t="str">
        <f>IF($B$7&gt;2,COMPLEX($E122,0),1)</f>
        <v>0.844327925502015</v>
      </c>
      <c r="R122" s="9" t="str">
        <f>IF($B$7&gt;3,COMPLEX($E122,0),1)</f>
        <v>0.844327925502015</v>
      </c>
      <c r="S122" s="9" t="str">
        <f>IF($B$7&gt;3,COMPLEX(0,$D122*$B$19),0)</f>
        <v>109.56649344368i</v>
      </c>
      <c r="T122" s="9" t="str">
        <f>IF($B$7&gt;3,COMPLEX(0,$D122/$B$19),0)</f>
        <v>2.6204211268753E-003i</v>
      </c>
      <c r="U122" s="9" t="str">
        <f>IF($B$7&gt;3,COMPLEX($E122,0),1)</f>
        <v>0.844327925502015</v>
      </c>
      <c r="V122" s="9" t="str">
        <f>IF($B$7&gt;4,COMPLEX($E122,0),1)</f>
        <v>0.844327925502015</v>
      </c>
      <c r="W122" s="9" t="str">
        <f>IF($B$7&gt;4,COMPLEX(0,$D122*$B$20),0)</f>
        <v>131.021056343765i</v>
      </c>
      <c r="X122" s="9" t="str">
        <f>IF($B$7&gt;4,COMPLEX(0,$D122/$B$20),0)</f>
        <v>2.19132986887361E-003i</v>
      </c>
      <c r="Y122" s="9" t="str">
        <f>IF($B$7&gt;4,COMPLEX($E122,0),1)</f>
        <v>0.844327925502015</v>
      </c>
      <c r="Z122" s="9" t="str">
        <f>IF($B$7&gt;5,COMPLEX($E122,0),1)</f>
        <v>0.844327925502015</v>
      </c>
      <c r="AA122" s="9" t="str">
        <f>IF($B$7&gt;5,COMPLEX(0,$D122*$B$21),0)</f>
        <v>156.676705312833i</v>
      </c>
      <c r="AB122" s="9" t="str">
        <f>IF($B$7&gt;5,COMPLEX(0,$D122/$B$21),0)</f>
        <v>1.8325018619979E-003i</v>
      </c>
      <c r="AC122" s="9" t="str">
        <f>IF($B$7&gt;5,COMPLEX($E122,0),1)</f>
        <v>0.844327925502015</v>
      </c>
      <c r="AD122" s="9" t="str">
        <f>IF($B$7&gt;6,COMPLEX($E122,0),1)</f>
        <v>0.844327925502015</v>
      </c>
      <c r="AE122" s="9" t="str">
        <f>IF($B$7&gt;6,COMPLEX(0,$D122*$B$22),0)</f>
        <v>187.356068350403i</v>
      </c>
      <c r="AF122" s="9" t="str">
        <f>IF($B$7&gt;6,COMPLEX(0,$D122/$B$22),0)</f>
        <v>1.53243157131422E-003i</v>
      </c>
      <c r="AG122" s="9" t="str">
        <f>IF($B$7&gt;6,COMPLEX($E122,0),1)</f>
        <v>0.844327925502015</v>
      </c>
      <c r="AH122" s="9" t="str">
        <f>IF($B$7&gt;7,COMPLEX($E122,0),1)</f>
        <v>0.844327925502015</v>
      </c>
      <c r="AI122" s="9" t="str">
        <f>IF($B$7&gt;7,COMPLEX(0,$D122*$B$23),0)</f>
        <v>224.04285485601i</v>
      </c>
      <c r="AJ122" s="9" t="str">
        <f>IF($B$7&gt;7,COMPLEX(0,$D122/$B$23),0)</f>
        <v>1.28149748137242E-003i</v>
      </c>
      <c r="AK122" s="9" t="str">
        <f>IF($B$7&gt;7,COMPLEX($E122,0),1)</f>
        <v>0.844327925502015</v>
      </c>
      <c r="AL122" s="4" t="str">
        <f>IMSUM(IMPRODUCT(F122,J122),IMPRODUCT(G122,L122))</f>
        <v>0.472793316071655</v>
      </c>
      <c r="AM122" s="5" t="str">
        <f>IMSUM(IMPRODUCT(F122,K122),IMPRODUCT(G122,M122))</f>
        <v>118.793943978238i</v>
      </c>
      <c r="AN122" s="5" t="str">
        <f>IMSUM(IMPRODUCT(H122,J122),IMPRODUCT(I122,L122))</f>
        <v>6.94711198769268E-003i</v>
      </c>
      <c r="AO122" s="5" t="str">
        <f>IMSUM(IMPRODUCT(H122,K122),IMPRODUCT(I122,M122))</f>
        <v>0.369559301673816</v>
      </c>
      <c r="AP122" s="4" t="str">
        <f>IMSUM(IMPRODUCT(AL122,N122),IMPRODUCT(AM122,P122))</f>
        <v>2.6947724677446E-002</v>
      </c>
      <c r="AQ122" s="5" t="str">
        <f>IMSUM(IMPRODUCT(AL122,O122),IMPRODUCT(AM122,Q122))</f>
        <v>143.620775883422i</v>
      </c>
      <c r="AR122" s="5" t="str">
        <f>IMSUM(IMPRODUCT(AN122,N122),IMPRODUCT(AO122,P122))</f>
        <v>7.02366732887804E-003i</v>
      </c>
      <c r="AS122" s="5" t="str">
        <f>IMSUM(IMPRODUCT(AN122,O122),IMPRODUCT(AO122,Q122))</f>
        <v>-0.324500544115512</v>
      </c>
      <c r="AT122" s="4" t="str">
        <f>IMSUM(IMPRODUCT(AP122,R122),IMPRODUCT(AQ122,T122))</f>
        <v>-0.353594198909235</v>
      </c>
      <c r="AU122" s="5" t="str">
        <f>IMSUM(IMPRODUCT(AP122,S122),IMPRODUCT(AQ122,U122))</f>
        <v>124.215599459833i</v>
      </c>
      <c r="AV122" s="5" t="str">
        <f>IMSUM(IMPRODUCT(AR122,R122),IMPRODUCT(AS122,T122))</f>
        <v>5.07995038372505E-003i</v>
      </c>
      <c r="AW122" s="5" t="str">
        <f>IMSUM(IMPRODUCT(AR122,S122),IMPRODUCT(AS122,U122))</f>
        <v>-1.04354347157743</v>
      </c>
      <c r="AX122" s="4" t="str">
        <f>IMSUM(IMPRODUCT(AT122,V122),IMPRODUCT(AU122,X122))</f>
        <v>-0.570746809710954</v>
      </c>
      <c r="AY122" s="5" t="str">
        <f>IMSUM(IMPRODUCT(AT122,W122),IMPRODUCT(AU122,Y122))</f>
        <v>58.5504139487947i</v>
      </c>
      <c r="AZ122" s="5" t="str">
        <f>IMSUM(IMPRODUCT(AV122,V122),IMPRODUCT(AW122,X122))</f>
        <v>2.00239599040806E-003i</v>
      </c>
      <c r="BA122" s="5" t="str">
        <f>IMSUM(IMPRODUCT(AV122,W122),IMPRODUCT(AW122,Y122))</f>
        <v>-1.54667335997771</v>
      </c>
      <c r="BB122" s="4" t="str">
        <f>IMSUM(IMPRODUCT(AX122,Z122),IMPRODUCT(AY122,AB122))</f>
        <v>-0.589191212412057</v>
      </c>
      <c r="BC122" s="5" t="str">
        <f>IMSUM(IMPRODUCT(AX122,AA122),IMPRODUCT(AY122,AC122))</f>
        <v>-39.9869801666526i</v>
      </c>
      <c r="BD122" s="5" t="str">
        <f>IMSUM(IMPRODUCT(AZ122,Z122),IMPRODUCT(BA122,AB122))</f>
        <v>-1.14360295944691E-003i</v>
      </c>
      <c r="BE122" s="5" t="str">
        <f>IMSUM(IMPRODUCT(AZ122,AA122),IMPRODUCT(BA122,AC122))</f>
        <v>-1.61962831596797</v>
      </c>
      <c r="BF122" s="4" t="str">
        <f>IMSUM(IMPRODUCT(BB122,AD122),IMPRODUCT(BC122,AF122))</f>
        <v>-0.436193283250995</v>
      </c>
      <c r="BG122" s="5" t="str">
        <f>IMSUM(IMPRODUCT(BB122,AE122),IMPRODUCT(BC122,AG122))</f>
        <v>-144.15067307533i</v>
      </c>
      <c r="BH122" s="5" t="str">
        <f>IMSUM(IMPRODUCT(BD122,AD122),IMPRODUCT(BE122,AF122))</f>
        <v>-3.44754547953157E-003i</v>
      </c>
      <c r="BI122" s="5" t="str">
        <f>IMSUM(IMPRODUCT(BD122,AE122),IMPRODUCT(BE122,AG122))</f>
        <v>-1.1532364618697</v>
      </c>
      <c r="BJ122" s="4" t="str">
        <f>IMSUM(IMPRODUCT(BF122,AH122),IMPRODUCT(BG122,AJ122))</f>
        <v>-0.183561445481051</v>
      </c>
      <c r="BK122" s="5" t="str">
        <f>IMSUM(IMPRODUCT(BF122,AI122),IMPRODUCT(BG122,AK122))</f>
        <v>-219.436427205982i</v>
      </c>
      <c r="BL122" s="5" t="str">
        <f>IMSUM(IMPRODUCT(BH122,AH122),IMPRODUCT(BI122,AJ122))</f>
        <v>-4.3887285441196E-003i</v>
      </c>
      <c r="BM122" s="5" t="str">
        <f>IMSUM(IMPRODUCT(BH122,AI122),IMPRODUCT(BI122,AK122))</f>
        <v>-0.201311817983542</v>
      </c>
      <c r="BN122" s="4">
        <f t="shared" si="4"/>
        <v>500</v>
      </c>
      <c r="BO122" s="4">
        <v>1</v>
      </c>
      <c r="BP122" s="4" t="str">
        <f>IMSUM(IMPRODUCT($BJ122,$BN122),IMPRODUCT($BK122,$BO122))</f>
        <v>-91.7807227405255-219.436427205982i</v>
      </c>
      <c r="BQ122" s="4" t="str">
        <f>IMSUM(IMPRODUCT($BL122,$BN122),IMPRODUCT($BM122,$BO122))</f>
        <v>-0.201311817983542-2.1943642720598i</v>
      </c>
      <c r="BR122" s="4" t="str">
        <f>IMDIV($BP122,$BQ122)</f>
        <v>102.970471430801-32.3791044371472i</v>
      </c>
      <c r="BS122" s="4" t="str">
        <f>IMDIV(IMSUB($BQ$100,$BR122),IMSUM($BQ$100,$BR122))</f>
        <v>-3.90888395132037E-002+0.153290489010023i</v>
      </c>
      <c r="BT122" s="4">
        <f>IMABS($BS122)</f>
        <v>0.15819580081475293</v>
      </c>
      <c r="BU122" s="4">
        <f t="shared" si="5"/>
        <v>1.375849398156638</v>
      </c>
      <c r="BV122" s="4">
        <f t="shared" si="6"/>
        <v>-0.11006926173856435</v>
      </c>
    </row>
    <row r="123" spans="1:74" ht="12.75">
      <c r="A123" s="5">
        <v>20</v>
      </c>
      <c r="B123" s="5">
        <f t="shared" si="1"/>
        <v>3.8000000000000003</v>
      </c>
      <c r="C123" s="4">
        <f t="shared" si="0"/>
        <v>0.5969026041820606</v>
      </c>
      <c r="D123" s="4">
        <f t="shared" si="2"/>
        <v>0.5620833778521305</v>
      </c>
      <c r="E123" s="5">
        <f t="shared" si="3"/>
        <v>0.8270805742745618</v>
      </c>
      <c r="F123" s="9" t="str">
        <f>IF($B$7&gt;0,COMPLEX($E123,0),1)</f>
        <v>0.827080574274562</v>
      </c>
      <c r="G123" s="9" t="str">
        <f>IF($B$7&gt;0,COMPLEX(0,$D123*$B$16),0)</f>
        <v>67.2146708403265i</v>
      </c>
      <c r="H123" s="9" t="str">
        <f>IF($B$7&gt;0,COMPLEX(0,$D123/$B$16),0)</f>
        <v>4.70042804208912E-003i</v>
      </c>
      <c r="I123" s="9" t="str">
        <f>IF($B$7&gt;0,COMPLEX($E123,0),1)</f>
        <v>0.827080574274562</v>
      </c>
      <c r="J123" s="9" t="str">
        <f>IF($B$7&gt;1,COMPLEX($E123,0),1)</f>
        <v>0.827080574274562</v>
      </c>
      <c r="K123" s="9" t="str">
        <f>IF($B$7&gt;1,COMPLEX(0,$D123*$B$17),0)</f>
        <v>80.3761889105704i</v>
      </c>
      <c r="L123" s="9" t="str">
        <f>IF($B$7&gt;1,COMPLEX(0,$D123/$B$17),0)</f>
        <v>3.93073779610508E-003i</v>
      </c>
      <c r="M123" s="9" t="str">
        <f>IF($B$7&gt;1,COMPLEX($E123,0),1)</f>
        <v>0.827080574274562</v>
      </c>
      <c r="N123" s="9" t="str">
        <f>IF($B$7&gt;2,COMPLEX($E123,0),1)</f>
        <v>0.827080574274562</v>
      </c>
      <c r="O123" s="9" t="str">
        <f>IF($B$7&gt;2,COMPLEX(0,$D123*$B$18),0)</f>
        <v>96.1149056153932i</v>
      </c>
      <c r="P123" s="9" t="str">
        <f>IF($B$7&gt;2,COMPLEX(0,$D123/$B$18),0)</f>
        <v>3.28708353438847E-003i</v>
      </c>
      <c r="Q123" s="9" t="str">
        <f>IF($B$7&gt;2,COMPLEX($E123,0),1)</f>
        <v>0.827080574274562</v>
      </c>
      <c r="R123" s="9" t="str">
        <f>IF($B$7&gt;3,COMPLEX($E123,0),1)</f>
        <v>0.827080574274562</v>
      </c>
      <c r="S123" s="9" t="str">
        <f>IF($B$7&gt;3,COMPLEX(0,$D123*$B$19),0)</f>
        <v>114.93547040075i</v>
      </c>
      <c r="T123" s="9" t="str">
        <f>IF($B$7&gt;3,COMPLEX(0,$D123/$B$19),0)</f>
        <v>2.74882699445235E-003i</v>
      </c>
      <c r="U123" s="9" t="str">
        <f>IF($B$7&gt;3,COMPLEX($E123,0),1)</f>
        <v>0.827080574274562</v>
      </c>
      <c r="V123" s="9" t="str">
        <f>IF($B$7&gt;4,COMPLEX($E123,0),1)</f>
        <v>0.827080574274562</v>
      </c>
      <c r="W123" s="9" t="str">
        <f>IF($B$7&gt;4,COMPLEX(0,$D123*$B$20),0)</f>
        <v>137.441349722618i</v>
      </c>
      <c r="X123" s="9" t="str">
        <f>IF($B$7&gt;4,COMPLEX(0,$D123/$B$20),0)</f>
        <v>2.298709408015E-003i</v>
      </c>
      <c r="Y123" s="9" t="str">
        <f>IF($B$7&gt;4,COMPLEX($E123,0),1)</f>
        <v>0.827080574274562</v>
      </c>
      <c r="Z123" s="9" t="str">
        <f>IF($B$7&gt;5,COMPLEX($E123,0),1)</f>
        <v>0.827080574274562</v>
      </c>
      <c r="AA123" s="9" t="str">
        <f>IF($B$7&gt;5,COMPLEX(0,$D123*$B$21),0)</f>
        <v>164.354176719423i</v>
      </c>
      <c r="AB123" s="9" t="str">
        <f>IF($B$7&gt;5,COMPLEX(0,$D123/$B$21),0)</f>
        <v>1.92229811230787E-003i</v>
      </c>
      <c r="AC123" s="9" t="str">
        <f>IF($B$7&gt;5,COMPLEX($E123,0),1)</f>
        <v>0.827080574274562</v>
      </c>
      <c r="AD123" s="9" t="str">
        <f>IF($B$7&gt;6,COMPLEX($E123,0),1)</f>
        <v>0.827080574274562</v>
      </c>
      <c r="AE123" s="9" t="str">
        <f>IF($B$7&gt;6,COMPLEX(0,$D123*$B$22),0)</f>
        <v>196.536889805254i</v>
      </c>
      <c r="AF123" s="9" t="str">
        <f>IF($B$7&gt;6,COMPLEX(0,$D123/$B$22),0)</f>
        <v>1.60752377821141E-003i</v>
      </c>
      <c r="AG123" s="9" t="str">
        <f>IF($B$7&gt;6,COMPLEX($E123,0),1)</f>
        <v>0.827080574274562</v>
      </c>
      <c r="AH123" s="9" t="str">
        <f>IF($B$7&gt;7,COMPLEX($E123,0),1)</f>
        <v>0.827080574274562</v>
      </c>
      <c r="AI123" s="9" t="str">
        <f>IF($B$7&gt;7,COMPLEX(0,$D123*$B$23),0)</f>
        <v>235.021402104456i</v>
      </c>
      <c r="AJ123" s="9" t="str">
        <f>IF($B$7&gt;7,COMPLEX(0,$D123/$B$23),0)</f>
        <v>1.34429341680653E-003i</v>
      </c>
      <c r="AK123" s="9" t="str">
        <f>IF($B$7&gt;7,COMPLEX($E123,0),1)</f>
        <v>0.827080574274562</v>
      </c>
      <c r="AL123" s="4" t="str">
        <f>IMSUM(IMPRODUCT(F123,J123),IMPRODUCT(G123,L123))</f>
        <v>0.419859029217506</v>
      </c>
      <c r="AM123" s="5" t="str">
        <f>IMSUM(IMPRODUCT(F123,K123),IMPRODUCT(G123,M123))</f>
        <v>122.069533040448i</v>
      </c>
      <c r="AN123" s="5" t="str">
        <f>IMSUM(IMPRODUCT(H123,J123),IMPRODUCT(I123,L123))</f>
        <v>7.13866959811264E-003i</v>
      </c>
      <c r="AO123" s="5" t="str">
        <f>IMSUM(IMPRODUCT(H123,K123),IMPRODUCT(I123,M123))</f>
        <v>0.306259784070841</v>
      </c>
      <c r="AP123" s="4" t="str">
        <f>IMSUM(IMPRODUCT(AL123,N123),IMPRODUCT(AM123,P123))</f>
        <v>-5.3995505108171E-002</v>
      </c>
      <c r="AQ123" s="5" t="str">
        <f>IMSUM(IMPRODUCT(AL123,O123),IMPRODUCT(AM123,Q123))</f>
        <v>141.316050453532i</v>
      </c>
      <c r="AR123" s="5" t="str">
        <f>IMSUM(IMPRODUCT(AN123,N123),IMPRODUCT(AO123,P123))</f>
        <v>6.91095644422799E-003i</v>
      </c>
      <c r="AS123" s="5" t="str">
        <f>IMSUM(IMPRODUCT(AN123,O123),IMPRODUCT(AO123,Q123))</f>
        <v>-0.432831036555558</v>
      </c>
      <c r="AT123" s="4" t="str">
        <f>IMSUM(IMPRODUCT(AP123,R123),IMPRODUCT(AQ123,T123))</f>
        <v>-0.43311200760917</v>
      </c>
      <c r="AU123" s="5" t="str">
        <f>IMSUM(IMPRODUCT(AP123,S123),IMPRODUCT(AQ123,U123))</f>
        <v>110.673761384186i</v>
      </c>
      <c r="AV123" s="5" t="str">
        <f>IMSUM(IMPRODUCT(AR123,R123),IMPRODUCT(AS123,T123))</f>
        <v>4.52614018735786E-003i</v>
      </c>
      <c r="AW123" s="5" t="str">
        <f>IMSUM(IMPRODUCT(AR123,S123),IMPRODUCT(AS123,U123))</f>
        <v>-1.15230017211466</v>
      </c>
      <c r="AX123" s="4" t="str">
        <f>IMSUM(IMPRODUCT(AT123,V123),IMPRODUCT(AU123,X123))</f>
        <v>-0.612625344492837</v>
      </c>
      <c r="AY123" s="5" t="str">
        <f>IMSUM(IMPRODUCT(AT123,W123),IMPRODUCT(AU123,Y123))</f>
        <v>32.0086192158813i</v>
      </c>
      <c r="AZ123" s="5" t="str">
        <f>IMSUM(IMPRODUCT(AV123,V123),IMPRODUCT(AW123,X123))</f>
        <v>1.09467937890984E-003i</v>
      </c>
      <c r="BA123" s="5" t="str">
        <f>IMSUM(IMPRODUCT(AV123,W123),IMPRODUCT(AW123,Y123))</f>
        <v>-1.57512390447352</v>
      </c>
      <c r="BB123" s="4" t="str">
        <f>IMSUM(IMPRODUCT(AX123,Z123),IMPRODUCT(AY123,AB123))</f>
        <v>-0.568220630034557</v>
      </c>
      <c r="BC123" s="5" t="str">
        <f>IMSUM(IMPRODUCT(AX123,AA123),IMPRODUCT(AY123,AC123))</f>
        <v>-74.2138269687661i</v>
      </c>
      <c r="BD123" s="5" t="str">
        <f>IMSUM(IMPRODUCT(AZ123,Z123),IMPRODUCT(BA123,AB123))</f>
        <v>-2.12246965886518E-003i</v>
      </c>
      <c r="BE123" s="5" t="str">
        <f>IMSUM(IMPRODUCT(AZ123,AA123),IMPRODUCT(BA123,AC123))</f>
        <v>-1.48266951155801</v>
      </c>
      <c r="BF123" s="4" t="str">
        <f>IMSUM(IMPRODUCT(BB123,AD123),IMPRODUCT(BC123,AF123))</f>
        <v>-0.350663753479276</v>
      </c>
      <c r="BG123" s="5" t="str">
        <f>IMSUM(IMPRODUCT(BB123,AE123),IMPRODUCT(BC123,AG123))</f>
        <v>-173.057129978614i</v>
      </c>
      <c r="BH123" s="5" t="str">
        <f>IMSUM(IMPRODUCT(BD123,AD123),IMPRODUCT(BE123,AF123))</f>
        <v>-4.13887991939315E-003i</v>
      </c>
      <c r="BI123" s="5" t="str">
        <f>IMSUM(IMPRODUCT(BD123,AE123),IMPRODUCT(BE123,AG123))</f>
        <v>-0.809143565619399</v>
      </c>
      <c r="BJ123" s="4" t="str">
        <f>IMSUM(IMPRODUCT(BF123,AH123),IMPRODUCT(BG123,AJ123))</f>
        <v>-5.738761804323E-002</v>
      </c>
      <c r="BK123" s="5" t="str">
        <f>IMSUM(IMPRODUCT(BF123,AI123),IMPRODUCT(BG123,AK123))</f>
        <v>-225.545677454931i</v>
      </c>
      <c r="BL123" s="5" t="str">
        <f>IMSUM(IMPRODUCT(BH123,AH123),IMPRODUCT(BI123,AJ123))</f>
        <v>-4.51091354909866E-003i</v>
      </c>
      <c r="BM123" s="5" t="str">
        <f>IMSUM(IMPRODUCT(BH123,AI123),IMPRODUCT(BI123,AK123))</f>
        <v>0.303498436874697</v>
      </c>
      <c r="BN123" s="4">
        <f t="shared" si="4"/>
        <v>500</v>
      </c>
      <c r="BO123" s="4">
        <v>1</v>
      </c>
      <c r="BP123" s="4" t="str">
        <f>IMSUM(IMPRODUCT($BJ123,$BN123),IMPRODUCT($BK123,$BO123))</f>
        <v>-28.693809021615-225.545677454931i</v>
      </c>
      <c r="BQ123" s="4" t="str">
        <f>IMSUM(IMPRODUCT($BL123,$BN123),IMPRODUCT($BM123,$BO123))</f>
        <v>0.303498436874697-2.25545677454933i</v>
      </c>
      <c r="BR123" s="4" t="str">
        <f>IMDIV($BP123,$BQ123)</f>
        <v>96.5400702432414-25.7125607950523i</v>
      </c>
      <c r="BS123" s="4" t="str">
        <f>IMDIV(IMSUB($BQ$100,$BR123),IMSUM($BQ$100,$BR123))</f>
        <v>4.80515918553716E-004+0.130888912667954i</v>
      </c>
      <c r="BT123" s="4">
        <f>IMABS($BS123)</f>
        <v>0.13088979469365544</v>
      </c>
      <c r="BU123" s="4">
        <f t="shared" si="5"/>
        <v>1.3012041370461627</v>
      </c>
      <c r="BV123" s="4">
        <f t="shared" si="6"/>
        <v>-0.07504865500343087</v>
      </c>
    </row>
    <row r="124" spans="1:74" ht="12.75">
      <c r="A124" s="5">
        <v>21</v>
      </c>
      <c r="B124" s="5">
        <f t="shared" si="1"/>
        <v>4</v>
      </c>
      <c r="C124" s="4">
        <f t="shared" si="0"/>
        <v>0.6283185307179586</v>
      </c>
      <c r="D124" s="4">
        <f t="shared" si="2"/>
        <v>0.5877852522924731</v>
      </c>
      <c r="E124" s="5">
        <f t="shared" si="3"/>
        <v>0.8090169943749475</v>
      </c>
      <c r="F124" s="9" t="str">
        <f>IF($B$7&gt;0,COMPLEX($E124,0),1)</f>
        <v>0.809016994374947</v>
      </c>
      <c r="G124" s="9" t="str">
        <f>IF($B$7&gt;0,COMPLEX(0,$D124*$B$16),0)</f>
        <v>70.2881348468382i</v>
      </c>
      <c r="H124" s="9" t="str">
        <f>IF($B$7&gt;0,COMPLEX(0,$D124/$B$16),0)</f>
        <v>4.91536023207006E-003i</v>
      </c>
      <c r="I124" s="9" t="str">
        <f>IF($B$7&gt;0,COMPLEX($E124,0),1)</f>
        <v>0.809016994374947</v>
      </c>
      <c r="J124" s="9" t="str">
        <f>IF($B$7&gt;1,COMPLEX($E124,0),1)</f>
        <v>0.809016994374947</v>
      </c>
      <c r="K124" s="9" t="str">
        <f>IF($B$7&gt;1,COMPLEX(0,$D124*$B$17),0)</f>
        <v>84.0514776609099i</v>
      </c>
      <c r="L124" s="9" t="str">
        <f>IF($B$7&gt;1,COMPLEX(0,$D124/$B$17),0)</f>
        <v>4.11047506156105E-003i</v>
      </c>
      <c r="M124" s="9" t="str">
        <f>IF($B$7&gt;1,COMPLEX($E124,0),1)</f>
        <v>0.809016994374947</v>
      </c>
      <c r="N124" s="9" t="str">
        <f>IF($B$7&gt;2,COMPLEX($E124,0),1)</f>
        <v>0.809016994374947</v>
      </c>
      <c r="O124" s="9" t="str">
        <f>IF($B$7&gt;2,COMPLEX(0,$D124*$B$18),0)</f>
        <v>100.509864323142i</v>
      </c>
      <c r="P124" s="9" t="str">
        <f>IF($B$7&gt;2,COMPLEX(0,$D124/$B$18),0)</f>
        <v>3.43738900792623E-003i</v>
      </c>
      <c r="Q124" s="9" t="str">
        <f>IF($B$7&gt;2,COMPLEX($E124,0),1)</f>
        <v>0.809016994374947</v>
      </c>
      <c r="R124" s="9" t="str">
        <f>IF($B$7&gt;3,COMPLEX($E124,0),1)</f>
        <v>0.809016994374947</v>
      </c>
      <c r="S124" s="9" t="str">
        <f>IF($B$7&gt;3,COMPLEX(0,$D124*$B$19),0)</f>
        <v>120.191019924861i</v>
      </c>
      <c r="T124" s="9" t="str">
        <f>IF($B$7&gt;3,COMPLEX(0,$D124/$B$19),0)</f>
        <v>2.87452010165579E-003i</v>
      </c>
      <c r="U124" s="9" t="str">
        <f>IF($B$7&gt;3,COMPLEX($E124,0),1)</f>
        <v>0.809016994374947</v>
      </c>
      <c r="V124" s="9" t="str">
        <f>IF($B$7&gt;4,COMPLEX($E124,0),1)</f>
        <v>0.809016994374947</v>
      </c>
      <c r="W124" s="9" t="str">
        <f>IF($B$7&gt;4,COMPLEX(0,$D124*$B$20),0)</f>
        <v>143.72600508279i</v>
      </c>
      <c r="X124" s="9" t="str">
        <f>IF($B$7&gt;4,COMPLEX(0,$D124/$B$20),0)</f>
        <v>2.40382039849723E-003i</v>
      </c>
      <c r="Y124" s="9" t="str">
        <f>IF($B$7&gt;4,COMPLEX($E124,0),1)</f>
        <v>0.809016994374947</v>
      </c>
      <c r="Z124" s="9" t="str">
        <f>IF($B$7&gt;5,COMPLEX($E124,0),1)</f>
        <v>0.809016994374947</v>
      </c>
      <c r="AA124" s="9" t="str">
        <f>IF($B$7&gt;5,COMPLEX(0,$D124*$B$21),0)</f>
        <v>171.869450396312i</v>
      </c>
      <c r="AB124" s="9" t="str">
        <f>IF($B$7&gt;5,COMPLEX(0,$D124/$B$21),0)</f>
        <v>2.01019728646285E-003i</v>
      </c>
      <c r="AC124" s="9" t="str">
        <f>IF($B$7&gt;5,COMPLEX($E124,0),1)</f>
        <v>0.809016994374947</v>
      </c>
      <c r="AD124" s="9" t="str">
        <f>IF($B$7&gt;6,COMPLEX($E124,0),1)</f>
        <v>0.809016994374947</v>
      </c>
      <c r="AE124" s="9" t="str">
        <f>IF($B$7&gt;6,COMPLEX(0,$D124*$B$22),0)</f>
        <v>205.523753078053i</v>
      </c>
      <c r="AF124" s="9" t="str">
        <f>IF($B$7&gt;6,COMPLEX(0,$D124/$B$22),0)</f>
        <v>1.6810295532182E-003i</v>
      </c>
      <c r="AG124" s="9" t="str">
        <f>IF($B$7&gt;6,COMPLEX($E124,0),1)</f>
        <v>0.809016994374947</v>
      </c>
      <c r="AH124" s="9" t="str">
        <f>IF($B$7&gt;7,COMPLEX($E124,0),1)</f>
        <v>0.809016994374947</v>
      </c>
      <c r="AI124" s="9" t="str">
        <f>IF($B$7&gt;7,COMPLEX(0,$D124*$B$23),0)</f>
        <v>245.768011603503i</v>
      </c>
      <c r="AJ124" s="9" t="str">
        <f>IF($B$7&gt;7,COMPLEX(0,$D124/$B$23),0)</f>
        <v>1.40576269693676E-003i</v>
      </c>
      <c r="AK124" s="9" t="str">
        <f>IF($B$7&gt;7,COMPLEX($E124,0),1)</f>
        <v>0.809016994374947</v>
      </c>
      <c r="AL124" s="4" t="str">
        <f>IMSUM(IMPRODUCT(F124,J124),IMPRODUCT(G124,L124))</f>
        <v>0.365590871775904</v>
      </c>
      <c r="AM124" s="5" t="str">
        <f>IMSUM(IMPRODUCT(F124,K124),IMPRODUCT(G124,M124))</f>
        <v>124.863369424012i</v>
      </c>
      <c r="AN124" s="5" t="str">
        <f>IMSUM(IMPRODUCT(H124,J124),IMPRODUCT(I124,L124))</f>
        <v>7.30205414097676E-003i</v>
      </c>
      <c r="AO124" s="5" t="str">
        <f>IMSUM(IMPRODUCT(H124,K124),IMPRODUCT(I124,M124))</f>
        <v>0.241365206446311</v>
      </c>
      <c r="AP124" s="4" t="str">
        <f>IMSUM(IMPRODUCT(AL124,N124),IMPRODUCT(AM124,P124))</f>
        <v>-0.133434745295673</v>
      </c>
      <c r="AQ124" s="5" t="str">
        <f>IMSUM(IMPRODUCT(AL124,O124),IMPRODUCT(AM124,Q124))</f>
        <v>137.762076758918i</v>
      </c>
      <c r="AR124" s="5" t="str">
        <f>IMSUM(IMPRODUCT(AN124,N124),IMPRODUCT(AO124,P124))</f>
        <v>6.73715200143055E-003i</v>
      </c>
      <c r="AS124" s="5" t="str">
        <f>IMSUM(IMPRODUCT(AN124,O124),IMPRODUCT(AO124,Q124))</f>
        <v>-0.538659917123928</v>
      </c>
      <c r="AT124" s="4" t="str">
        <f>IMSUM(IMPRODUCT(AP124,R124),IMPRODUCT(AQ124,T124))</f>
        <v>-0.50395083547365</v>
      </c>
      <c r="AU124" s="5" t="str">
        <f>IMSUM(IMPRODUCT(AP124,S124),IMPRODUCT(AQ124,U124))</f>
        <v>95.41420314785i</v>
      </c>
      <c r="AV124" s="5" t="str">
        <f>IMSUM(IMPRODUCT(AR124,R124),IMPRODUCT(AS124,T124))</f>
        <v>3.90208170311553E-003i</v>
      </c>
      <c r="AW124" s="5" t="str">
        <f>IMSUM(IMPRODUCT(AR124,S124),IMPRODUCT(AS124,U124))</f>
        <v>-1.24553019758261</v>
      </c>
      <c r="AX124" s="4" t="str">
        <f>IMSUM(IMPRODUCT(AT124,V124),IMPRODUCT(AU124,X124))</f>
        <v>-0.637063398060796</v>
      </c>
      <c r="AY124" s="5" t="str">
        <f>IMSUM(IMPRODUCT(AT124,W124),IMPRODUCT(AU124,Y124))</f>
        <v>4.7608715105921i</v>
      </c>
      <c r="AZ124" s="5" t="str">
        <f>IMSUM(IMPRODUCT(AV124,V124),IMPRODUCT(AW124,X124))</f>
        <v>1.6281951536664E-004i</v>
      </c>
      <c r="BA124" s="5" t="str">
        <f>IMSUM(IMPRODUCT(AV124,W124),IMPRODUCT(AW124,Y124))</f>
        <v>-1.56848571154697</v>
      </c>
      <c r="BB124" s="4" t="str">
        <f>IMSUM(IMPRODUCT(AX124,Z124),IMPRODUCT(AY124,AB124))</f>
        <v>-0.524965406517227</v>
      </c>
      <c r="BC124" s="5" t="str">
        <f>IMSUM(IMPRODUCT(AX124,AA124),IMPRODUCT(AY124,AC124))</f>
        <v>-105.640110132211i</v>
      </c>
      <c r="BD124" s="5" t="str">
        <f>IMSUM(IMPRODUCT(AZ124,Z124),IMPRODUCT(BA124,AB124))</f>
        <v>-3.02124196625996E-003i</v>
      </c>
      <c r="BE124" s="5" t="str">
        <f>IMSUM(IMPRODUCT(AZ124,AA124),IMPRODUCT(BA124,AC124))</f>
        <v>-1.29691529669564</v>
      </c>
      <c r="BF124" s="4" t="str">
        <f>IMSUM(IMPRODUCT(BB124,AD124),IMPRODUCT(BC124,AF124))</f>
        <v>-0.247121788193917</v>
      </c>
      <c r="BG124" s="5" t="str">
        <f>IMSUM(IMPRODUCT(BB124,AE124),IMPRODUCT(BC124,AG124))</f>
        <v>-193.357504968166i</v>
      </c>
      <c r="BH124" s="5" t="str">
        <f>IMSUM(IMPRODUCT(BD124,AD124),IMPRODUCT(BE124,AF124))</f>
        <v>-4.62438903658921E-003i</v>
      </c>
      <c r="BI124" s="5" t="str">
        <f>IMSUM(IMPRODUCT(BD124,AE124),IMPRODUCT(BE124,AG124))</f>
        <v>-0.428289527428937</v>
      </c>
      <c r="BJ124" s="4" t="str">
        <f>IMSUM(IMPRODUCT(BF124,AH124),IMPRODUCT(BG124,AJ124))</f>
        <v>7.1889041327807E-002</v>
      </c>
      <c r="BK124" s="5" t="str">
        <f>IMSUM(IMPRODUCT(BF124,AI124),IMPRODUCT(BG124,AK124))</f>
        <v>-217.164138017506i</v>
      </c>
      <c r="BL124" s="5" t="str">
        <f>IMSUM(IMPRODUCT(BH124,AH124),IMPRODUCT(BI124,AJ124))</f>
        <v>-4.34328276035013E-003i</v>
      </c>
      <c r="BM124" s="5" t="str">
        <f>IMSUM(IMPRODUCT(BH124,AI124),IMPRODUCT(BI124,AK124))</f>
        <v>0.790033392200745</v>
      </c>
      <c r="BN124" s="4">
        <f t="shared" si="4"/>
        <v>500</v>
      </c>
      <c r="BO124" s="4">
        <v>1</v>
      </c>
      <c r="BP124" s="4" t="str">
        <f>IMSUM(IMPRODUCT($BJ124,$BN124),IMPRODUCT($BK124,$BO124))</f>
        <v>35.9445206639035-217.164138017506i</v>
      </c>
      <c r="BQ124" s="4" t="str">
        <f>IMSUM(IMPRODUCT($BL124,$BN124),IMPRODUCT($BM124,$BO124))</f>
        <v>0.790033392200745-2.17164138017506i</v>
      </c>
      <c r="BR124" s="4" t="str">
        <f>IMDIV($BP124,$BQ124)</f>
        <v>93.6298194869144-17.510332775765i</v>
      </c>
      <c r="BS124" s="4" t="str">
        <f>IMDIV(IMSUB($BQ$100,$BR124),IMSUM($BQ$100,$BR124))</f>
        <v>2.45202845891143E-002+9.26494233492237E-002i</v>
      </c>
      <c r="BT124" s="4">
        <f>IMABS($BS124)</f>
        <v>0.09583924041474262</v>
      </c>
      <c r="BU124" s="4">
        <f t="shared" si="5"/>
        <v>1.2119960181831038</v>
      </c>
      <c r="BV124" s="4">
        <f t="shared" si="6"/>
        <v>-0.04007497362316617</v>
      </c>
    </row>
    <row r="125" spans="1:74" ht="12.75">
      <c r="A125" s="5">
        <v>22</v>
      </c>
      <c r="B125" s="5">
        <f t="shared" si="1"/>
        <v>4.2</v>
      </c>
      <c r="C125" s="4">
        <f t="shared" si="0"/>
        <v>0.6597344572538566</v>
      </c>
      <c r="D125" s="4">
        <f t="shared" si="2"/>
        <v>0.6129070536529765</v>
      </c>
      <c r="E125" s="5">
        <f t="shared" si="3"/>
        <v>0.7901550123756903</v>
      </c>
      <c r="F125" s="9" t="str">
        <f>IF($B$7&gt;0,COMPLEX($E125,0),1)</f>
        <v>0.79015501237569</v>
      </c>
      <c r="G125" s="9" t="str">
        <f>IF($B$7&gt;0,COMPLEX(0,$D125*$B$16),0)</f>
        <v>73.2922329502454i</v>
      </c>
      <c r="H125" s="9" t="str">
        <f>IF($B$7&gt;0,COMPLEX(0,$D125/$B$16),0)</f>
        <v>5.12544155494057E-003i</v>
      </c>
      <c r="I125" s="9" t="str">
        <f>IF($B$7&gt;0,COMPLEX($E125,0),1)</f>
        <v>0.79015501237569</v>
      </c>
      <c r="J125" s="9" t="str">
        <f>IF($B$7&gt;1,COMPLEX($E125,0),1)</f>
        <v>0.79015501237569</v>
      </c>
      <c r="K125" s="9" t="str">
        <f>IF($B$7&gt;1,COMPLEX(0,$D125*$B$17),0)</f>
        <v>87.6438177504559i</v>
      </c>
      <c r="L125" s="9" t="str">
        <f>IF($B$7&gt;1,COMPLEX(0,$D125/$B$17),0)</f>
        <v>4.28615578439494E-003i</v>
      </c>
      <c r="M125" s="9" t="str">
        <f>IF($B$7&gt;1,COMPLEX($E125,0),1)</f>
        <v>0.79015501237569</v>
      </c>
      <c r="N125" s="9" t="str">
        <f>IF($B$7&gt;2,COMPLEX($E125,0),1)</f>
        <v>0.79015501237569</v>
      </c>
      <c r="O125" s="9" t="str">
        <f>IF($B$7&gt;2,COMPLEX(0,$D125*$B$18),0)</f>
        <v>104.805631929507i</v>
      </c>
      <c r="P125" s="9" t="str">
        <f>IF($B$7&gt;2,COMPLEX(0,$D125/$B$18),0)</f>
        <v>3.58430219351418E-003i</v>
      </c>
      <c r="Q125" s="9" t="str">
        <f>IF($B$7&gt;2,COMPLEX($E125,0),1)</f>
        <v>0.79015501237569</v>
      </c>
      <c r="R125" s="9" t="str">
        <f>IF($B$7&gt;3,COMPLEX($E125,0),1)</f>
        <v>0.79015501237569</v>
      </c>
      <c r="S125" s="9" t="str">
        <f>IF($B$7&gt;3,COMPLEX(0,$D125*$B$19),0)</f>
        <v>125.327955423145i</v>
      </c>
      <c r="T125" s="9" t="str">
        <f>IF($B$7&gt;3,COMPLEX(0,$D125/$B$19),0)</f>
        <v>2.99737640456391E-003i</v>
      </c>
      <c r="U125" s="9" t="str">
        <f>IF($B$7&gt;3,COMPLEX($E125,0),1)</f>
        <v>0.79015501237569</v>
      </c>
      <c r="V125" s="9" t="str">
        <f>IF($B$7&gt;4,COMPLEX($E125,0),1)</f>
        <v>0.79015501237569</v>
      </c>
      <c r="W125" s="9" t="str">
        <f>IF($B$7&gt;4,COMPLEX(0,$D125*$B$20),0)</f>
        <v>149.868820228196i</v>
      </c>
      <c r="X125" s="9" t="str">
        <f>IF($B$7&gt;4,COMPLEX(0,$D125/$B$20),0)</f>
        <v>2.5065591084629E-003i</v>
      </c>
      <c r="Y125" s="9" t="str">
        <f>IF($B$7&gt;4,COMPLEX($E125,0),1)</f>
        <v>0.79015501237569</v>
      </c>
      <c r="Z125" s="9" t="str">
        <f>IF($B$7&gt;5,COMPLEX($E125,0),1)</f>
        <v>0.79015501237569</v>
      </c>
      <c r="AA125" s="9" t="str">
        <f>IF($B$7&gt;5,COMPLEX(0,$D125*$B$21),0)</f>
        <v>179.215109675709i</v>
      </c>
      <c r="AB125" s="9" t="str">
        <f>IF($B$7&gt;5,COMPLEX(0,$D125/$B$21),0)</f>
        <v>2.09611263859015E-003i</v>
      </c>
      <c r="AC125" s="9" t="str">
        <f>IF($B$7&gt;5,COMPLEX($E125,0),1)</f>
        <v>0.79015501237569</v>
      </c>
      <c r="AD125" s="9" t="str">
        <f>IF($B$7&gt;6,COMPLEX($E125,0),1)</f>
        <v>0.79015501237569</v>
      </c>
      <c r="AE125" s="9" t="str">
        <f>IF($B$7&gt;6,COMPLEX(0,$D125*$B$22),0)</f>
        <v>214.307789219747i</v>
      </c>
      <c r="AF125" s="9" t="str">
        <f>IF($B$7&gt;6,COMPLEX(0,$D125/$B$22),0)</f>
        <v>1.75287635500912E-003i</v>
      </c>
      <c r="AG125" s="9" t="str">
        <f>IF($B$7&gt;6,COMPLEX($E125,0),1)</f>
        <v>0.79015501237569</v>
      </c>
      <c r="AH125" s="9" t="str">
        <f>IF($B$7&gt;7,COMPLEX($E125,0),1)</f>
        <v>0.79015501237569</v>
      </c>
      <c r="AI125" s="9" t="str">
        <f>IF($B$7&gt;7,COMPLEX(0,$D125*$B$23),0)</f>
        <v>256.272077747029i</v>
      </c>
      <c r="AJ125" s="9" t="str">
        <f>IF($B$7&gt;7,COMPLEX(0,$D125/$B$23),0)</f>
        <v>1.46584465900491E-003i</v>
      </c>
      <c r="AK125" s="9" t="str">
        <f>IF($B$7&gt;7,COMPLEX($E125,0),1)</f>
        <v>0.79015501237569</v>
      </c>
      <c r="AL125" s="4" t="str">
        <f>IMSUM(IMPRODUCT(F125,J125),IMPRODUCT(G125,L125))</f>
        <v>0.310203015371511</v>
      </c>
      <c r="AM125" s="5" t="str">
        <f>IMSUM(IMPRODUCT(F125,K125),IMPRODUCT(G125,M125))</f>
        <v>127.164427133107i</v>
      </c>
      <c r="AN125" s="5" t="str">
        <f>IMSUM(IMPRODUCT(H125,J125),IMPRODUCT(I125,L125))</f>
        <v>7.43662081213766E-003i</v>
      </c>
      <c r="AO125" s="5" t="str">
        <f>IMSUM(IMPRODUCT(H125,K125),IMPRODUCT(I125,M125))</f>
        <v>0.175131678050602</v>
      </c>
      <c r="AP125" s="4" t="str">
        <f>IMSUM(IMPRODUCT(AL125,N125),IMPRODUCT(AM125,P125))</f>
        <v>-0.210687267660317</v>
      </c>
      <c r="AQ125" s="5" t="str">
        <f>IMSUM(IMPRODUCT(AL125,O125),IMPRODUCT(AM125,Q125))</f>
        <v>132.990632547558i</v>
      </c>
      <c r="AR125" s="5" t="str">
        <f>IMSUM(IMPRODUCT(AN125,N125),IMPRODUCT(AO125,P125))</f>
        <v>6.50380806763854E-003i</v>
      </c>
      <c r="AS125" s="5" t="str">
        <f>IMSUM(IMPRODUCT(AN125,O125),IMPRODUCT(AO125,Q125))</f>
        <v>-0.641018570398762</v>
      </c>
      <c r="AT125" s="4" t="str">
        <f>IMSUM(IMPRODUCT(AP125,R125),IMPRODUCT(AQ125,T125))</f>
        <v>-0.565098584611617</v>
      </c>
      <c r="AU125" s="5" t="str">
        <f>IMSUM(IMPRODUCT(AP125,S125),IMPRODUCT(AQ125,U125))</f>
        <v>78.6782104169106i</v>
      </c>
      <c r="AV125" s="5" t="str">
        <f>IMSUM(IMPRODUCT(AR125,R125),IMPRODUCT(AS125,T125))</f>
        <v>3.2176426063735E-003i</v>
      </c>
      <c r="AW125" s="5" t="str">
        <f>IMSUM(IMPRODUCT(AR125,S125),IMPRODUCT(AS125,U125))</f>
        <v>-1.32161300400818</v>
      </c>
      <c r="AX125" s="4" t="str">
        <f>IMSUM(IMPRODUCT(AT125,V125),IMPRODUCT(AU125,X125))</f>
        <v>-0.643727064075345</v>
      </c>
      <c r="AY125" s="5" t="str">
        <f>IMSUM(IMPRODUCT(AT125,W125),IMPRODUCT(AU125,Y125))</f>
        <v>-22.5226758626953i</v>
      </c>
      <c r="AZ125" s="5" t="str">
        <f>IMSUM(IMPRODUCT(AV125,V125),IMPRODUCT(AW125,X125))</f>
        <v>-7.7026467960012E-004i</v>
      </c>
      <c r="BA125" s="5" t="str">
        <f>IMSUM(IMPRODUCT(AV125,W125),IMPRODUCT(AW125,Y125))</f>
        <v>-1.52650344087113</v>
      </c>
      <c r="BB125" s="4" t="str">
        <f>IMSUM(IMPRODUCT(AX125,Z125),IMPRODUCT(AY125,AB125))</f>
        <v>-0.461434100750356</v>
      </c>
      <c r="BC125" s="5" t="str">
        <f>IMSUM(IMPRODUCT(AX125,AA125),IMPRODUCT(AY125,AC125))</f>
        <v>-133.162021614507i</v>
      </c>
      <c r="BD125" s="5" t="str">
        <f>IMSUM(IMPRODUCT(AZ125,Z125),IMPRODUCT(BA125,AB125))</f>
        <v>-3.80835165270332E-003i</v>
      </c>
      <c r="BE125" s="5" t="str">
        <f>IMSUM(IMPRODUCT(AZ125,AA125),IMPRODUCT(BA125,AC125))</f>
        <v>-1.0681312761792</v>
      </c>
      <c r="BF125" s="4" t="str">
        <f>IMSUM(IMPRODUCT(BB125,AD125),IMPRODUCT(BC125,AF125))</f>
        <v>-0.13118790851568</v>
      </c>
      <c r="BG125" s="5" t="str">
        <f>IMSUM(IMPRODUCT(BB125,AE125),IMPRODUCT(BC125,AG125))</f>
        <v>-204.107560839194i</v>
      </c>
      <c r="BH125" s="5" t="str">
        <f>IMSUM(IMPRODUCT(BD125,AD125),IMPRODUCT(BE125,AF125))</f>
        <v>-4.88149020533301E-003i</v>
      </c>
      <c r="BI125" s="5" t="str">
        <f>IMSUM(IMPRODUCT(BD125,AE125),IMPRODUCT(BE125,AG125))</f>
        <v>-2.78298584860189E-002</v>
      </c>
      <c r="BJ125" s="4" t="str">
        <f>IMSUM(IMPRODUCT(BF125,AH125),IMPRODUCT(BG125,AJ125))</f>
        <v>0.195531194441904</v>
      </c>
      <c r="BK125" s="5" t="str">
        <f>IMSUM(IMPRODUCT(BF125,AI125),IMPRODUCT(BG125,AK125))</f>
        <v>-194.896410151465i</v>
      </c>
      <c r="BL125" s="5" t="str">
        <f>IMSUM(IMPRODUCT(BH125,AH125),IMPRODUCT(BI125,AJ125))</f>
        <v>-3.8979282030293E-003i</v>
      </c>
      <c r="BM125" s="5" t="str">
        <f>IMSUM(IMPRODUCT(BH125,AI125),IMPRODUCT(BI125,AK125))</f>
        <v>1.22899973524603</v>
      </c>
      <c r="BN125" s="4">
        <f t="shared" si="4"/>
        <v>500</v>
      </c>
      <c r="BO125" s="4">
        <v>1</v>
      </c>
      <c r="BP125" s="4" t="str">
        <f>IMSUM(IMPRODUCT($BJ125,$BN125),IMPRODUCT($BK125,$BO125))</f>
        <v>97.765597220952-194.896410151465i</v>
      </c>
      <c r="BQ125" s="4" t="str">
        <f>IMSUM(IMPRODUCT($BL125,$BN125),IMPRODUCT($BM125,$BO125))</f>
        <v>1.22899973524603-1.94896410151465i</v>
      </c>
      <c r="BR125" s="4" t="str">
        <f>IMDIV($BP125,$BQ125)</f>
        <v>94.1814436944143-9.22714386098552i</v>
      </c>
      <c r="BS125" s="4" t="str">
        <f>IMDIV(IMSUB($BQ$100,$BR125),IMSUM($BQ$100,$BR125))</f>
        <v>2.76441383544038E-002+4.88317530351504E-002i</v>
      </c>
      <c r="BT125" s="4">
        <f>IMABS($BS125)</f>
        <v>0.05611362125048909</v>
      </c>
      <c r="BU125" s="4">
        <f t="shared" si="5"/>
        <v>1.1188991016584648</v>
      </c>
      <c r="BV125" s="4">
        <f t="shared" si="6"/>
        <v>-0.013696371991753888</v>
      </c>
    </row>
    <row r="126" spans="1:74" ht="12.75">
      <c r="A126" s="5">
        <v>23</v>
      </c>
      <c r="B126" s="5">
        <f t="shared" si="1"/>
        <v>4.4</v>
      </c>
      <c r="C126" s="4">
        <f t="shared" si="0"/>
        <v>0.6911503837897546</v>
      </c>
      <c r="D126" s="4">
        <f t="shared" si="2"/>
        <v>0.6374239897486897</v>
      </c>
      <c r="E126" s="5">
        <f t="shared" si="3"/>
        <v>0.7705132427757893</v>
      </c>
      <c r="F126" s="9" t="str">
        <f>IF($B$7&gt;0,COMPLEX($E126,0),1)</f>
        <v>0.770513242775789</v>
      </c>
      <c r="G126" s="9" t="str">
        <f>IF($B$7&gt;0,COMPLEX(0,$D126*$B$16),0)</f>
        <v>76.2240004684092i</v>
      </c>
      <c r="H126" s="9" t="str">
        <f>IF($B$7&gt;0,COMPLEX(0,$D126/$B$16),0)</f>
        <v>5.33046468579842E-003i</v>
      </c>
      <c r="I126" s="9" t="str">
        <f>IF($B$7&gt;0,COMPLEX($E126,0),1)</f>
        <v>0.770513242775789</v>
      </c>
      <c r="J126" s="9" t="str">
        <f>IF($B$7&gt;1,COMPLEX($E126,0),1)</f>
        <v>0.770513242775789</v>
      </c>
      <c r="K126" s="9" t="str">
        <f>IF($B$7&gt;1,COMPLEX(0,$D126*$B$17),0)</f>
        <v>91.1496639732486i</v>
      </c>
      <c r="L126" s="9" t="str">
        <f>IF($B$7&gt;1,COMPLEX(0,$D126/$B$17),0)</f>
        <v>4.45760658894349E-003i</v>
      </c>
      <c r="M126" s="9" t="str">
        <f>IF($B$7&gt;1,COMPLEX($E126,0),1)</f>
        <v>0.770513242775789</v>
      </c>
      <c r="N126" s="9" t="str">
        <f>IF($B$7&gt;2,COMPLEX($E126,0),1)</f>
        <v>0.770513242775789</v>
      </c>
      <c r="O126" s="9" t="str">
        <f>IF($B$7&gt;2,COMPLEX(0,$D126*$B$18),0)</f>
        <v>108.997969030495i</v>
      </c>
      <c r="P126" s="9" t="str">
        <f>IF($B$7&gt;2,COMPLEX(0,$D126/$B$18),0)</f>
        <v>3.72767810557517E-003i</v>
      </c>
      <c r="Q126" s="9" t="str">
        <f>IF($B$7&gt;2,COMPLEX($E126,0),1)</f>
        <v>0.770513242775789</v>
      </c>
      <c r="R126" s="9" t="str">
        <f>IF($B$7&gt;3,COMPLEX($E126,0),1)</f>
        <v>0.770513242775789</v>
      </c>
      <c r="S126" s="9" t="str">
        <f>IF($B$7&gt;3,COMPLEX(0,$D126*$B$19),0)</f>
        <v>130.341207360453i</v>
      </c>
      <c r="T126" s="9" t="str">
        <f>IF($B$7&gt;3,COMPLEX(0,$D126/$B$19),0)</f>
        <v>3.11727465883837E-003i</v>
      </c>
      <c r="U126" s="9" t="str">
        <f>IF($B$7&gt;3,COMPLEX($E126,0),1)</f>
        <v>0.770513242775789</v>
      </c>
      <c r="V126" s="9" t="str">
        <f>IF($B$7&gt;4,COMPLEX($E126,0),1)</f>
        <v>0.770513242775789</v>
      </c>
      <c r="W126" s="9" t="str">
        <f>IF($B$7&gt;4,COMPLEX(0,$D126*$B$20),0)</f>
        <v>155.863732941919i</v>
      </c>
      <c r="X126" s="9" t="str">
        <f>IF($B$7&gt;4,COMPLEX(0,$D126/$B$20),0)</f>
        <v>2.60682414720906E-003i</v>
      </c>
      <c r="Y126" s="9" t="str">
        <f>IF($B$7&gt;4,COMPLEX($E126,0),1)</f>
        <v>0.770513242775789</v>
      </c>
      <c r="Z126" s="9" t="str">
        <f>IF($B$7&gt;5,COMPLEX($E126,0),1)</f>
        <v>0.770513242775789</v>
      </c>
      <c r="AA126" s="9" t="str">
        <f>IF($B$7&gt;5,COMPLEX(0,$D126*$B$21),0)</f>
        <v>186.383905278758i</v>
      </c>
      <c r="AB126" s="9" t="str">
        <f>IF($B$7&gt;5,COMPLEX(0,$D126/$B$21),0)</f>
        <v>2.17995938060991E-003i</v>
      </c>
      <c r="AC126" s="9" t="str">
        <f>IF($B$7&gt;5,COMPLEX($E126,0),1)</f>
        <v>0.770513242775789</v>
      </c>
      <c r="AD126" s="9" t="str">
        <f>IF($B$7&gt;6,COMPLEX($E126,0),1)</f>
        <v>0.770513242775789</v>
      </c>
      <c r="AE126" s="9" t="str">
        <f>IF($B$7&gt;6,COMPLEX(0,$D126*$B$22),0)</f>
        <v>222.880329447174i</v>
      </c>
      <c r="AF126" s="9" t="str">
        <f>IF($B$7&gt;6,COMPLEX(0,$D126/$B$22),0)</f>
        <v>1.82299327946497E-003i</v>
      </c>
      <c r="AG126" s="9" t="str">
        <f>IF($B$7&gt;6,COMPLEX($E126,0),1)</f>
        <v>0.770513242775789</v>
      </c>
      <c r="AH126" s="9" t="str">
        <f>IF($B$7&gt;7,COMPLEX($E126,0),1)</f>
        <v>0.770513242775789</v>
      </c>
      <c r="AI126" s="9" t="str">
        <f>IF($B$7&gt;7,COMPLEX(0,$D126*$B$23),0)</f>
        <v>266.523234289921i</v>
      </c>
      <c r="AJ126" s="9" t="str">
        <f>IF($B$7&gt;7,COMPLEX(0,$D126/$B$23),0)</f>
        <v>1.52448000936818E-003i</v>
      </c>
      <c r="AK126" s="9" t="str">
        <f>IF($B$7&gt;7,COMPLEX($E126,0),1)</f>
        <v>0.770513242775789</v>
      </c>
      <c r="AL126" s="4" t="str">
        <f>IMSUM(IMPRODUCT(F126,J126),IMPRODUCT(G126,L126))</f>
        <v>0.25391405056925</v>
      </c>
      <c r="AM126" s="5" t="str">
        <f>IMSUM(IMPRODUCT(F126,K126),IMPRODUCT(G126,M126))</f>
        <v>128.963624944209i</v>
      </c>
      <c r="AN126" s="5" t="str">
        <f>IMSUM(IMPRODUCT(H126,J126),IMPRODUCT(I126,L126))</f>
        <v>7.54183853842194E-003i</v>
      </c>
      <c r="AO126" s="5" t="str">
        <f>IMSUM(IMPRODUCT(H126,K126),IMPRODUCT(I126,M126))</f>
        <v>0.107820592361068</v>
      </c>
      <c r="AP126" s="4" t="str">
        <f>IMSUM(IMPRODUCT(AL126,N126),IMPRODUCT(AM126,P126))</f>
        <v>-0.285090742629688</v>
      </c>
      <c r="AQ126" s="5" t="str">
        <f>IMSUM(IMPRODUCT(AL126,O126),IMPRODUCT(AM126,Q126))</f>
        <v>127.044296676238i</v>
      </c>
      <c r="AR126" s="5" t="str">
        <f>IMSUM(IMPRODUCT(AN126,N126),IMPRODUCT(AO126,P126))</f>
        <v>6.21300693020541E-003i</v>
      </c>
      <c r="AS126" s="5" t="str">
        <f>IMSUM(IMPRODUCT(AN126,O126),IMPRODUCT(AO126,Q126))</f>
        <v>-0.738967889185775</v>
      </c>
      <c r="AT126" s="4" t="str">
        <f>IMSUM(IMPRODUCT(AP126,R126),IMPRODUCT(AQ126,T126))</f>
        <v>-0.615698159167739</v>
      </c>
      <c r="AU126" s="5" t="str">
        <f>IMSUM(IMPRODUCT(AP126,S126),IMPRODUCT(AQ126,U126))</f>
        <v>60.7302414065358i</v>
      </c>
      <c r="AV126" s="5" t="str">
        <f>IMSUM(IMPRODUCT(AR126,R126),IMPRODUCT(AS126,T126))</f>
        <v>2.48363824252692E-003i</v>
      </c>
      <c r="AW126" s="5" t="str">
        <f>IMSUM(IMPRODUCT(AR126,S126),IMPRODUCT(AS126,U126))</f>
        <v>-1.37919536922555</v>
      </c>
      <c r="AX126" s="4" t="str">
        <f>IMSUM(IMPRODUCT(AT126,V126),IMPRODUCT(AU126,X126))</f>
        <v>-0.632716644955811</v>
      </c>
      <c r="AY126" s="5" t="str">
        <f>IMSUM(IMPRODUCT(AT126,W126),IMPRODUCT(AU126,Y126))</f>
        <v>-49.1715582126452i</v>
      </c>
      <c r="AZ126" s="5" t="str">
        <f>IMSUM(IMPRODUCT(AV126,V126),IMPRODUCT(AW126,X126))</f>
        <v>-1.6816436360847E-003i</v>
      </c>
      <c r="BA126" s="5" t="str">
        <f>IMSUM(IMPRODUCT(AV126,W126),IMPRODUCT(AW126,Y126))</f>
        <v>-1.44979742412088</v>
      </c>
      <c r="BB126" s="4" t="str">
        <f>IMSUM(IMPRODUCT(AX126,Z126),IMPRODUCT(AY126,AB126))</f>
        <v>-0.380324554278258</v>
      </c>
      <c r="BC126" s="5" t="str">
        <f>IMSUM(IMPRODUCT(AX126,AA126),IMPRODUCT(AY126,AC126))</f>
        <v>-155.815535992501i</v>
      </c>
      <c r="BD126" s="5" t="str">
        <f>IMSUM(IMPRODUCT(AZ126,Z126),IMPRODUCT(BA126,AB126))</f>
        <v>-4.45622818592929E-003i</v>
      </c>
      <c r="BE126" s="5" t="str">
        <f>IMSUM(IMPRODUCT(AZ126,AA126),IMPRODUCT(BA126,AC126))</f>
        <v>-0.803656806446733</v>
      </c>
      <c r="BF126" s="4" t="str">
        <f>IMSUM(IMPRODUCT(BB126,AD126),IMPRODUCT(BC126,AF126))</f>
        <v>-8.99443067363598E-003</v>
      </c>
      <c r="BG126" s="5" t="str">
        <f>IMSUM(IMPRODUCT(BB126,AE126),IMPRODUCT(BC126,AG126))</f>
        <v>-204.824795866818i</v>
      </c>
      <c r="BH126" s="5" t="str">
        <f>IMSUM(IMPRODUCT(BD126,AD126),IMPRODUCT(BE126,AF126))</f>
        <v>-4.89864378723792E-003i</v>
      </c>
      <c r="BI126" s="5" t="str">
        <f>IMSUM(IMPRODUCT(BD126,AE126),IMPRODUCT(BE126,AG126))</f>
        <v>0.373977394157596</v>
      </c>
      <c r="BJ126" s="4" t="str">
        <f>IMSUM(IMPRODUCT(BF126,AH126),IMPRODUCT(BG126,AJ126))</f>
        <v>0.305320978776617</v>
      </c>
      <c r="BK126" s="5" t="str">
        <f>IMSUM(IMPRODUCT(BF126,AI126),IMPRODUCT(BG126,AK126))</f>
        <v>-160.217442417965i</v>
      </c>
      <c r="BL126" s="5" t="str">
        <f>IMSUM(IMPRODUCT(BH126,AH126),IMPRODUCT(BI126,AJ126))</f>
        <v>-3.2043488483593E-003i</v>
      </c>
      <c r="BM126" s="5" t="str">
        <f>IMSUM(IMPRODUCT(BH126,AI126),IMPRODUCT(BI126,AK126))</f>
        <v>1.59375692050609</v>
      </c>
      <c r="BN126" s="4">
        <f t="shared" si="4"/>
        <v>500</v>
      </c>
      <c r="BO126" s="4">
        <v>1</v>
      </c>
      <c r="BP126" s="4" t="str">
        <f>IMSUM(IMPRODUCT($BJ126,$BN126),IMPRODUCT($BK126,$BO126))</f>
        <v>152.660489388309-160.217442417965i</v>
      </c>
      <c r="BQ126" s="4" t="str">
        <f>IMSUM(IMPRODUCT($BL126,$BN126),IMPRODUCT($BM126,$BO126))</f>
        <v>1.59375692050609-1.60217442417965i</v>
      </c>
      <c r="BR126" s="4" t="str">
        <f>IMDIV($BP126,$BQ126)</f>
        <v>97.9043762667564-2.10669187057741i</v>
      </c>
      <c r="BS126" s="4" t="str">
        <f>IMDIV(IMSUB($BQ$100,$BR126),IMSUM($BQ$100,$BR126))</f>
        <v>1.04745692833132E-002+1.07565006933702E-002i</v>
      </c>
      <c r="BT126" s="4">
        <f>IMABS($BS126)</f>
        <v>0.015013957134526594</v>
      </c>
      <c r="BU126" s="4">
        <f t="shared" si="5"/>
        <v>1.030485624122853</v>
      </c>
      <c r="BV126" s="4">
        <f t="shared" si="6"/>
        <v>-0.000979092239345997</v>
      </c>
    </row>
    <row r="127" spans="1:74" ht="12.75">
      <c r="A127" s="5">
        <v>24</v>
      </c>
      <c r="B127" s="5">
        <f t="shared" si="1"/>
        <v>4.6000000000000005</v>
      </c>
      <c r="C127" s="4">
        <f t="shared" si="0"/>
        <v>0.7225663103256525</v>
      </c>
      <c r="D127" s="4">
        <f t="shared" si="2"/>
        <v>0.661311865323652</v>
      </c>
      <c r="E127" s="5">
        <f t="shared" si="3"/>
        <v>0.7501110696304595</v>
      </c>
      <c r="F127" s="9" t="str">
        <f>IF($B$7&gt;0,COMPLEX($E127,0),1)</f>
        <v>0.750111069630459</v>
      </c>
      <c r="G127" s="9" t="str">
        <f>IF($B$7&gt;0,COMPLEX(0,$D127*$B$16),0)</f>
        <v>79.0805441007459i</v>
      </c>
      <c r="H127" s="9" t="str">
        <f>IF($B$7&gt;0,COMPLEX(0,$D127/$B$16),0)</f>
        <v>5.53022729156619E-003i</v>
      </c>
      <c r="I127" s="9" t="str">
        <f>IF($B$7&gt;0,COMPLEX($E127,0),1)</f>
        <v>0.750111069630459</v>
      </c>
      <c r="J127" s="9" t="str">
        <f>IF($B$7&gt;1,COMPLEX($E127,0),1)</f>
        <v>0.750111069630459</v>
      </c>
      <c r="K127" s="9" t="str">
        <f>IF($B$7&gt;1,COMPLEX(0,$D127*$B$17),0)</f>
        <v>94.565556482332i</v>
      </c>
      <c r="L127" s="9" t="str">
        <f>IF($B$7&gt;1,COMPLEX(0,$D127/$B$17),0)</f>
        <v>4.62465827396211E-003i</v>
      </c>
      <c r="M127" s="9" t="str">
        <f>IF($B$7&gt;1,COMPLEX($E127,0),1)</f>
        <v>0.750111069630459</v>
      </c>
      <c r="N127" s="9" t="str">
        <f>IF($B$7&gt;2,COMPLEX($E127,0),1)</f>
        <v>0.750111069630459</v>
      </c>
      <c r="O127" s="9" t="str">
        <f>IF($B$7&gt;2,COMPLEX(0,$D127*$B$18),0)</f>
        <v>113.082738295534i</v>
      </c>
      <c r="P127" s="9" t="str">
        <f>IF($B$7&gt;2,COMPLEX(0,$D127/$B$18),0)</f>
        <v>3.86737524939399E-003i</v>
      </c>
      <c r="Q127" s="9" t="str">
        <f>IF($B$7&gt;2,COMPLEX($E127,0),1)</f>
        <v>0.750111069630459</v>
      </c>
      <c r="R127" s="9" t="str">
        <f>IF($B$7&gt;3,COMPLEX($E127,0),1)</f>
        <v>0.750111069630459</v>
      </c>
      <c r="S127" s="9" t="str">
        <f>IF($B$7&gt;3,COMPLEX(0,$D127*$B$19),0)</f>
        <v>135.225828262381i</v>
      </c>
      <c r="T127" s="9" t="str">
        <f>IF($B$7&gt;3,COMPLEX(0,$D127/$B$19),0)</f>
        <v>3.23409653937768E-003i</v>
      </c>
      <c r="U127" s="9" t="str">
        <f>IF($B$7&gt;3,COMPLEX($E127,0),1)</f>
        <v>0.750111069630459</v>
      </c>
      <c r="V127" s="9" t="str">
        <f>IF($B$7&gt;4,COMPLEX($E127,0),1)</f>
        <v>0.750111069630459</v>
      </c>
      <c r="W127" s="9" t="str">
        <f>IF($B$7&gt;4,COMPLEX(0,$D127*$B$20),0)</f>
        <v>161.704826968884i</v>
      </c>
      <c r="X127" s="9" t="str">
        <f>IF($B$7&gt;4,COMPLEX(0,$D127/$B$20),0)</f>
        <v>2.70451656524762E-003i</v>
      </c>
      <c r="Y127" s="9" t="str">
        <f>IF($B$7&gt;4,COMPLEX($E127,0),1)</f>
        <v>0.750111069630459</v>
      </c>
      <c r="Z127" s="9" t="str">
        <f>IF($B$7&gt;5,COMPLEX($E127,0),1)</f>
        <v>0.750111069630459</v>
      </c>
      <c r="AA127" s="9" t="str">
        <f>IF($B$7&gt;5,COMPLEX(0,$D127*$B$21),0)</f>
        <v>193.3687624697i</v>
      </c>
      <c r="AB127" s="9" t="str">
        <f>IF($B$7&gt;5,COMPLEX(0,$D127/$B$21),0)</f>
        <v>2.26165476591069E-003i</v>
      </c>
      <c r="AC127" s="9" t="str">
        <f>IF($B$7&gt;5,COMPLEX($E127,0),1)</f>
        <v>0.750111069630459</v>
      </c>
      <c r="AD127" s="9" t="str">
        <f>IF($B$7&gt;6,COMPLEX($E127,0),1)</f>
        <v>0.750111069630459</v>
      </c>
      <c r="AE127" s="9" t="str">
        <f>IF($B$7&gt;6,COMPLEX(0,$D127*$B$22),0)</f>
        <v>231.232913698106i</v>
      </c>
      <c r="AF127" s="9" t="str">
        <f>IF($B$7&gt;6,COMPLEX(0,$D127/$B$22),0)</f>
        <v>1.89131112964664E-003i</v>
      </c>
      <c r="AG127" s="9" t="str">
        <f>IF($B$7&gt;6,COMPLEX($E127,0),1)</f>
        <v>0.750111069630459</v>
      </c>
      <c r="AH127" s="9" t="str">
        <f>IF($B$7&gt;7,COMPLEX($E127,0),1)</f>
        <v>0.750111069630459</v>
      </c>
      <c r="AI127" s="9" t="str">
        <f>IF($B$7&gt;7,COMPLEX(0,$D127*$B$23),0)</f>
        <v>276.511364578309i</v>
      </c>
      <c r="AJ127" s="9" t="str">
        <f>IF($B$7&gt;7,COMPLEX(0,$D127/$B$23),0)</f>
        <v>1.58161088201492E-003i</v>
      </c>
      <c r="AK127" s="9" t="str">
        <f>IF($B$7&gt;7,COMPLEX($E127,0),1)</f>
        <v>0.750111069630459</v>
      </c>
      <c r="AL127" s="4" t="str">
        <f>IMSUM(IMPRODUCT(F127,J127),IMPRODUCT(G127,L127))</f>
        <v>0.196946124197211</v>
      </c>
      <c r="AM127" s="5" t="str">
        <f>IMSUM(IMPRODUCT(F127,K127),IMPRODUCT(G127,M127))</f>
        <v>130.253862245531i</v>
      </c>
      <c r="AN127" s="5" t="str">
        <f>IMSUM(IMPRODUCT(H127,J127),IMPRODUCT(I127,L127))</f>
        <v>7.61729207353334E-003i</v>
      </c>
      <c r="AO127" s="5" t="str">
        <f>IMSUM(IMPRODUCT(H127,K127),IMPRODUCT(I127,M127))</f>
        <v>3.9697595481415E-002</v>
      </c>
      <c r="AP127" s="4" t="str">
        <f>IMSUM(IMPRODUCT(AL127,N127),IMPRODUCT(AM127,P127))</f>
        <v>-0.356009095105198</v>
      </c>
      <c r="AQ127" s="5" t="str">
        <f>IMSUM(IMPRODUCT(AL127,O127),IMPRODUCT(AM127,Q127))</f>
        <v>119.976070953407i</v>
      </c>
      <c r="AR127" s="5" t="str">
        <f>IMSUM(IMPRODUCT(AN127,N127),IMPRODUCT(AO127,P127))</f>
        <v>5.86734060319099E-003i</v>
      </c>
      <c r="AS127" s="5" t="str">
        <f>IMSUM(IMPRODUCT(AN127,O127),IMPRODUCT(AO127,Q127))</f>
        <v>-0.831606640263695</v>
      </c>
      <c r="AT127" s="4" t="str">
        <f>IMSUM(IMPRODUCT(AP127,R127),IMPRODUCT(AQ127,T127))</f>
        <v>-0.655060559006077</v>
      </c>
      <c r="AU127" s="5" t="str">
        <f>IMSUM(IMPRODUCT(AP127,S127),IMPRODUCT(AQ127,U127))</f>
        <v>41.8537541583788i</v>
      </c>
      <c r="AV127" s="5" t="str">
        <f>IMSUM(IMPRODUCT(AR127,R127),IMPRODUCT(AS127,T127))</f>
        <v>1.7116609783455E-003i</v>
      </c>
      <c r="AW127" s="5" t="str">
        <f>IMSUM(IMPRODUCT(AR127,S127),IMPRODUCT(AS127,U127))</f>
        <v>-1.41721333920399</v>
      </c>
      <c r="AX127" s="4" t="str">
        <f>IMSUM(IMPRODUCT(AT127,V127),IMPRODUCT(AU127,X127))</f>
        <v>-0.604562348027912</v>
      </c>
      <c r="AY127" s="5" t="str">
        <f>IMSUM(IMPRODUCT(AT127,W127),IMPRODUCT(AU127,Y127))</f>
        <v>-74.5314900484262i</v>
      </c>
      <c r="AZ127" s="5" t="str">
        <f>IMSUM(IMPRODUCT(AV127,V127),IMPRODUCT(AW127,X127))</f>
        <v>-2.54894110505563E-003i</v>
      </c>
      <c r="BA127" s="5" t="str">
        <f>IMSUM(IMPRODUCT(AV127,W127),IMPRODUCT(AW127,Y127))</f>
        <v>-1.33985125609761</v>
      </c>
      <c r="BB127" s="4" t="str">
        <f>IMSUM(IMPRODUCT(AX127,Z127),IMPRODUCT(AY127,AB127))</f>
        <v>-0.284924409859071</v>
      </c>
      <c r="BC127" s="5" t="str">
        <f>IMSUM(IMPRODUCT(AX127,AA127),IMPRODUCT(AY127,AC127))</f>
        <v>-172.81036879531i</v>
      </c>
      <c r="BD127" s="5" t="str">
        <f>IMSUM(IMPRODUCT(AZ127,Z127),IMPRODUCT(BA127,AB127))</f>
        <v>-4.9422699177029E-003i</v>
      </c>
      <c r="BE127" s="5" t="str">
        <f>IMSUM(IMPRODUCT(AZ127,AA127),IMPRODUCT(BA127,AC127))</f>
        <v>-0.512151671764333</v>
      </c>
      <c r="BF127" s="4" t="str">
        <f>IMSUM(IMPRODUCT(BB127,AD127),IMPRODUCT(BC127,AF127))</f>
        <v>0.113113219977695</v>
      </c>
      <c r="BG127" s="5" t="str">
        <f>IMSUM(IMPRODUCT(BB127,AE127),IMPRODUCT(BC127,AG127))</f>
        <v>-195.51087205571i</v>
      </c>
      <c r="BH127" s="5" t="str">
        <f>IMSUM(IMPRODUCT(BD127,AD127),IMPRODUCT(BE127,AF127))</f>
        <v>-4.67588953124558E-003i</v>
      </c>
      <c r="BI127" s="5" t="str">
        <f>IMSUM(IMPRODUCT(BD127,AE127),IMPRODUCT(BE127,AG127))</f>
        <v>0.758644835032768</v>
      </c>
      <c r="BJ127" s="4" t="str">
        <f>IMSUM(IMPRODUCT(BF127,AH127),IMPRODUCT(BG127,AJ127))</f>
        <v>0.394069601222352</v>
      </c>
      <c r="BK127" s="5" t="str">
        <f>IMSUM(IMPRODUCT(BF127,AI127),IMPRODUCT(BG127,AK127))</f>
        <v>-115.377778554213i</v>
      </c>
      <c r="BL127" s="5" t="str">
        <f>IMSUM(IMPRODUCT(BH127,AH127),IMPRODUCT(BI127,AJ127))</f>
        <v>-2.30755557108425E-003i</v>
      </c>
      <c r="BM127" s="5" t="str">
        <f>IMSUM(IMPRODUCT(BH127,AI127),IMPRODUCT(BI127,AK127))</f>
        <v>1.8620044835782</v>
      </c>
      <c r="BN127" s="4">
        <f t="shared" si="4"/>
        <v>500</v>
      </c>
      <c r="BO127" s="4">
        <v>1</v>
      </c>
      <c r="BP127" s="4" t="str">
        <f>IMSUM(IMPRODUCT($BJ127,$BN127),IMPRODUCT($BK127,$BO127))</f>
        <v>197.034800611176-115.377778554213i</v>
      </c>
      <c r="BQ127" s="4" t="str">
        <f>IMSUM(IMPRODUCT($BL127,$BN127),IMPRODUCT($BM127,$BO127))</f>
        <v>1.8620044835782-1.15377778554213i</v>
      </c>
      <c r="BR127" s="4" t="str">
        <f>IMDIV($BP127,$BQ127)</f>
        <v>104.204356616643+2.60519956292356i</v>
      </c>
      <c r="BS127" s="4" t="str">
        <f>IMDIV(IMSUB($BQ$100,$BR127),IMSUM($BQ$100,$BR127))</f>
        <v>-2.07483508782272E-002-1.24931025495873E-002i</v>
      </c>
      <c r="BT127" s="4">
        <f>IMABS($BS127)</f>
        <v>0.024219241843636153</v>
      </c>
      <c r="BU127" s="4">
        <f t="shared" si="5"/>
        <v>1.0496407448931375</v>
      </c>
      <c r="BV127" s="4">
        <f t="shared" si="6"/>
        <v>-0.0025481958418552032</v>
      </c>
    </row>
    <row r="128" spans="1:74" ht="12.75">
      <c r="A128" s="5">
        <v>25</v>
      </c>
      <c r="B128" s="5">
        <f t="shared" si="1"/>
        <v>4.800000000000001</v>
      </c>
      <c r="C128" s="4">
        <f t="shared" si="0"/>
        <v>0.7539822368615505</v>
      </c>
      <c r="D128" s="4">
        <f t="shared" si="2"/>
        <v>0.6845471059286888</v>
      </c>
      <c r="E128" s="5">
        <f t="shared" si="3"/>
        <v>0.7289686274214114</v>
      </c>
      <c r="F128" s="9" t="str">
        <f>IF($B$7&gt;0,COMPLEX($E128,0),1)</f>
        <v>0.728968627421411</v>
      </c>
      <c r="G128" s="9" t="str">
        <f>IF($B$7&gt;0,COMPLEX(0,$D128*$B$16),0)</f>
        <v>81.8590447835648i</v>
      </c>
      <c r="H128" s="9" t="str">
        <f>IF($B$7&gt;0,COMPLEX(0,$D128/$B$16),0)</f>
        <v>5.72453223066961E-003i</v>
      </c>
      <c r="I128" s="9" t="str">
        <f>IF($B$7&gt;0,COMPLEX($E128,0),1)</f>
        <v>0.728968627421411</v>
      </c>
      <c r="J128" s="9" t="str">
        <f>IF($B$7&gt;1,COMPLEX($E128,0),1)</f>
        <v>0.728968627421411</v>
      </c>
      <c r="K128" s="9" t="str">
        <f>IF($B$7&gt;1,COMPLEX(0,$D128*$B$17),0)</f>
        <v>97.8881242042052i</v>
      </c>
      <c r="L128" s="9" t="str">
        <f>IF($B$7&gt;1,COMPLEX(0,$D128/$B$17),0)</f>
        <v>4.7871459796061E-003i</v>
      </c>
      <c r="M128" s="9" t="str">
        <f>IF($B$7&gt;1,COMPLEX($E128,0),1)</f>
        <v>0.728968627421411</v>
      </c>
      <c r="N128" s="9" t="str">
        <f>IF($B$7&gt;2,COMPLEX($E128,0),1)</f>
        <v>0.728968627421411</v>
      </c>
      <c r="O128" s="9" t="str">
        <f>IF($B$7&gt;2,COMPLEX(0,$D128*$B$18),0)</f>
        <v>117.05590855052i</v>
      </c>
      <c r="P128" s="9" t="str">
        <f>IF($B$7&gt;2,COMPLEX(0,$D128/$B$18),0)</f>
        <v>4.00325576075554E-003i</v>
      </c>
      <c r="Q128" s="9" t="str">
        <f>IF($B$7&gt;2,COMPLEX($E128,0),1)</f>
        <v>0.728968627421411</v>
      </c>
      <c r="R128" s="9" t="str">
        <f>IF($B$7&gt;3,COMPLEX($E128,0),1)</f>
        <v>0.728968627421411</v>
      </c>
      <c r="S128" s="9" t="str">
        <f>IF($B$7&gt;3,COMPLEX(0,$D128*$B$19),0)</f>
        <v>139.976997597826i</v>
      </c>
      <c r="T128" s="9" t="str">
        <f>IF($B$7&gt;3,COMPLEX(0,$D128/$B$19),0)</f>
        <v>3.34772675708984E-003i</v>
      </c>
      <c r="U128" s="9" t="str">
        <f>IF($B$7&gt;3,COMPLEX($E128,0),1)</f>
        <v>0.728968627421411</v>
      </c>
      <c r="V128" s="9" t="str">
        <f>IF($B$7&gt;4,COMPLEX($E128,0),1)</f>
        <v>0.728968627421411</v>
      </c>
      <c r="W128" s="9" t="str">
        <f>IF($B$7&gt;4,COMPLEX(0,$D128*$B$20),0)</f>
        <v>167.386337854492i</v>
      </c>
      <c r="X128" s="9" t="str">
        <f>IF($B$7&gt;4,COMPLEX(0,$D128/$B$20),0)</f>
        <v>2.79953995195653E-003i</v>
      </c>
      <c r="Y128" s="9" t="str">
        <f>IF($B$7&gt;4,COMPLEX($E128,0),1)</f>
        <v>0.728968627421411</v>
      </c>
      <c r="Z128" s="9" t="str">
        <f>IF($B$7&gt;5,COMPLEX($E128,0),1)</f>
        <v>0.728968627421411</v>
      </c>
      <c r="AA128" s="9" t="str">
        <f>IF($B$7&gt;5,COMPLEX(0,$D128*$B$21),0)</f>
        <v>200.162788037777i</v>
      </c>
      <c r="AB128" s="9" t="str">
        <f>IF($B$7&gt;5,COMPLEX(0,$D128/$B$21),0)</f>
        <v>2.34111817101041E-003i</v>
      </c>
      <c r="AC128" s="9" t="str">
        <f>IF($B$7&gt;5,COMPLEX($E128,0),1)</f>
        <v>0.728968627421411</v>
      </c>
      <c r="AD128" s="9" t="str">
        <f>IF($B$7&gt;6,COMPLEX($E128,0),1)</f>
        <v>0.728968627421411</v>
      </c>
      <c r="AE128" s="9" t="str">
        <f>IF($B$7&gt;6,COMPLEX(0,$D128*$B$22),0)</f>
        <v>239.357298980305i</v>
      </c>
      <c r="AF128" s="9" t="str">
        <f>IF($B$7&gt;6,COMPLEX(0,$D128/$B$22),0)</f>
        <v>1.9577624840841E-003i</v>
      </c>
      <c r="AG128" s="9" t="str">
        <f>IF($B$7&gt;6,COMPLEX($E128,0),1)</f>
        <v>0.728968627421411</v>
      </c>
      <c r="AH128" s="9" t="str">
        <f>IF($B$7&gt;7,COMPLEX($E128,0),1)</f>
        <v>0.728968627421411</v>
      </c>
      <c r="AI128" s="9" t="str">
        <f>IF($B$7&gt;7,COMPLEX(0,$D128*$B$23),0)</f>
        <v>286.22661153348i</v>
      </c>
      <c r="AJ128" s="9" t="str">
        <f>IF($B$7&gt;7,COMPLEX(0,$D128/$B$23),0)</f>
        <v>1.6371808956713E-003i</v>
      </c>
      <c r="AK128" s="9" t="str">
        <f>IF($B$7&gt;7,COMPLEX($E128,0),1)</f>
        <v>0.728968627421411</v>
      </c>
      <c r="AL128" s="4" t="str">
        <f>IMSUM(IMPRODUCT(F128,J128),IMPRODUCT(G128,L128))</f>
        <v>0.139524062634618</v>
      </c>
      <c r="AM128" s="5" t="str">
        <f>IMSUM(IMPRODUCT(F128,K128),IMPRODUCT(G128,M128))</f>
        <v>131.030047059899i</v>
      </c>
      <c r="AN128" s="5" t="str">
        <f>IMSUM(IMPRODUCT(H128,J128),IMPRODUCT(I128,L128))</f>
        <v>7.66268363684023E-003i</v>
      </c>
      <c r="AO128" s="5" t="str">
        <f>IMSUM(IMPRODUCT(H128,K128),IMPRODUCT(I128,M128))</f>
        <v>-2.8968462242107E-002</v>
      </c>
      <c r="AP128" s="4" t="str">
        <f>IMSUM(IMPRODUCT(AL128,N128),IMPRODUCT(AM128,P128))</f>
        <v>-0.422838126293594</v>
      </c>
      <c r="AQ128" s="5" t="str">
        <f>IMSUM(IMPRODUCT(AL128,O128),IMPRODUCT(AM128,Q128))</f>
        <v>111.848909472572i</v>
      </c>
      <c r="AR128" s="5" t="str">
        <f>IMSUM(IMPRODUCT(AN128,N128),IMPRODUCT(AO128,P128))</f>
        <v>5.46988780976099E-003i</v>
      </c>
      <c r="AS128" s="5" t="str">
        <f>IMSUM(IMPRODUCT(AN128,O128),IMPRODUCT(AO128,Q128))</f>
        <v>-0.918079495204674</v>
      </c>
      <c r="AT128" s="4" t="str">
        <f>IMSUM(IMPRODUCT(AP128,R128),IMPRODUCT(AQ128,T128))</f>
        <v>-0.682675315538331</v>
      </c>
      <c r="AU128" s="5" t="str">
        <f>IMSUM(IMPRODUCT(AP128,S128),IMPRODUCT(AQ128,U128))</f>
        <v>22.3467346283348i</v>
      </c>
      <c r="AV128" s="5" t="str">
        <f>IMSUM(IMPRODUCT(AR128,R128),IMPRODUCT(AS128,T128))</f>
        <v>9.1389731759836E-004i</v>
      </c>
      <c r="AW128" s="5" t="str">
        <f>IMSUM(IMPRODUCT(AR128,S128),IMPRODUCT(AS128,U128))</f>
        <v>-1.43490962229039</v>
      </c>
      <c r="AX128" s="4" t="str">
        <f>IMSUM(IMPRODUCT(AT128,V128),IMPRODUCT(AU128,X128))</f>
        <v>-0.56020946413025</v>
      </c>
      <c r="AY128" s="5" t="str">
        <f>IMSUM(IMPRODUCT(AT128,W128),IMPRODUCT(AU128,Y128))</f>
        <v>-97.9804525422533i</v>
      </c>
      <c r="AZ128" s="5" t="str">
        <f>IMSUM(IMPRODUCT(AV128,V128),IMPRODUCT(AW128,X128))</f>
        <v>-3.35088434183501E-003i</v>
      </c>
      <c r="BA128" s="5" t="str">
        <f>IMSUM(IMPRODUCT(AV128,W128),IMPRODUCT(AW128,Y128))</f>
        <v>-1.19897802300263</v>
      </c>
      <c r="BB128" s="4" t="str">
        <f>IMSUM(IMPRODUCT(AX128,Z128),IMPRODUCT(AY128,AB128))</f>
        <v>-0.178991306285021</v>
      </c>
      <c r="BC128" s="5" t="str">
        <f>IMSUM(IMPRODUCT(AX128,AA128),IMPRODUCT(AY128,AC128))</f>
        <v>-183.557764229315i</v>
      </c>
      <c r="BD128" s="5" t="str">
        <f>IMSUM(IMPRODUCT(AZ128,Z128),IMPRODUCT(BA128,AB128))</f>
        <v>-5.24963879560896E-003i</v>
      </c>
      <c r="BE128" s="5" t="str">
        <f>IMSUM(IMPRODUCT(AZ128,AA128),IMPRODUCT(BA128,AC128))</f>
        <v>-0.203295011482837</v>
      </c>
      <c r="BF128" s="4" t="str">
        <f>IMSUM(IMPRODUCT(BB128,AD128),IMPRODUCT(BC128,AF128))</f>
        <v>0.22888345760755</v>
      </c>
      <c r="BG128" s="5" t="str">
        <f>IMSUM(IMPRODUCT(BB128,AE128),IMPRODUCT(BC128,AG128))</f>
        <v>-176.650727056126i</v>
      </c>
      <c r="BH128" s="5" t="str">
        <f>IMSUM(IMPRODUCT(BD128,AD128),IMPRODUCT(BE128,AF128))</f>
        <v>-4.22482533397579E-003i</v>
      </c>
      <c r="BI128" s="5" t="str">
        <f>IMSUM(IMPRODUCT(BD128,AE128),IMPRODUCT(BE128,AG128))</f>
        <v>1.10834367725692</v>
      </c>
      <c r="BJ128" s="4" t="str">
        <f>IMSUM(IMPRODUCT(BF128,AH128),IMPRODUCT(BG128,AJ128))</f>
        <v>0.456058055474377</v>
      </c>
      <c r="BK128" s="5" t="str">
        <f>IMSUM(IMPRODUCT(BF128,AI128),IMPRODUCT(BG128,AK128))</f>
        <v>-63.260301528022i</v>
      </c>
      <c r="BL128" s="5" t="str">
        <f>IMSUM(IMPRODUCT(BH128,AH128),IMPRODUCT(BI128,AJ128))</f>
        <v>-1.26520603056043E-003i</v>
      </c>
      <c r="BM128" s="5" t="str">
        <f>IMSUM(IMPRODUCT(BH128,AI128),IMPRODUCT(BI128,AK128))</f>
        <v>2.01720520878587</v>
      </c>
      <c r="BN128" s="4">
        <f t="shared" si="4"/>
        <v>500</v>
      </c>
      <c r="BO128" s="4">
        <v>1</v>
      </c>
      <c r="BP128" s="4" t="str">
        <f>IMSUM(IMPRODUCT($BJ128,$BN128),IMPRODUCT($BK128,$BO128))</f>
        <v>228.029027737189-63.260301528022i</v>
      </c>
      <c r="BQ128" s="4" t="str">
        <f>IMSUM(IMPRODUCT($BL128,$BN128),IMPRODUCT($BM128,$BO128))</f>
        <v>2.01720520878587-0.632603015280215i</v>
      </c>
      <c r="BR128" s="4" t="str">
        <f>IMDIV($BP128,$BQ128)</f>
        <v>111.874256897104+3.72381088676679i</v>
      </c>
      <c r="BS128" s="4" t="str">
        <f>IMDIV(IMSUB($BQ$100,$BR128),IMSUM($BQ$100,$BR128))</f>
        <v>-5.63353855622415E-002-1.65854437257401E-002i</v>
      </c>
      <c r="BT128" s="4">
        <f>IMABS($BS128)</f>
        <v>0.058726081173751915</v>
      </c>
      <c r="BU128" s="4">
        <f t="shared" si="5"/>
        <v>1.1247800029283341</v>
      </c>
      <c r="BV128" s="4">
        <f t="shared" si="6"/>
        <v>-0.015003629078975133</v>
      </c>
    </row>
    <row r="129" spans="1:74" ht="12.75">
      <c r="A129" s="5">
        <v>26</v>
      </c>
      <c r="B129" s="5">
        <f t="shared" si="1"/>
        <v>5</v>
      </c>
      <c r="C129" s="4">
        <f t="shared" si="0"/>
        <v>0.7853981633974483</v>
      </c>
      <c r="D129" s="4">
        <f t="shared" si="2"/>
        <v>0.7071067811865475</v>
      </c>
      <c r="E129" s="5">
        <f t="shared" si="3"/>
        <v>0.7071067811865476</v>
      </c>
      <c r="F129" s="9" t="str">
        <f>IF($B$7&gt;0,COMPLEX($E129,0),1)</f>
        <v>0.707106781186548</v>
      </c>
      <c r="G129" s="9" t="str">
        <f>IF($B$7&gt;0,COMPLEX(0,$D129*$B$16),0)</f>
        <v>84.5567604721446i</v>
      </c>
      <c r="H129" s="9" t="str">
        <f>IF($B$7&gt;0,COMPLEX(0,$D129/$B$16),0)</f>
        <v>5.9131877475925E-003i</v>
      </c>
      <c r="I129" s="9" t="str">
        <f>IF($B$7&gt;0,COMPLEX($E129,0),1)</f>
        <v>0.707106781186548</v>
      </c>
      <c r="J129" s="9" t="str">
        <f>IF($B$7&gt;1,COMPLEX($E129,0),1)</f>
        <v>0.707106781186548</v>
      </c>
      <c r="K129" s="9" t="str">
        <f>IF($B$7&gt;1,COMPLEX(0,$D129*$B$17),0)</f>
        <v>101.114088165665i</v>
      </c>
      <c r="L129" s="9" t="str">
        <f>IF($B$7&gt;1,COMPLEX(0,$D129/$B$17),0)</f>
        <v>4.94490935012735E-003i</v>
      </c>
      <c r="M129" s="9" t="str">
        <f>IF($B$7&gt;1,COMPLEX($E129,0),1)</f>
        <v>0.707106781186548</v>
      </c>
      <c r="N129" s="9" t="str">
        <f>IF($B$7&gt;2,COMPLEX($E129,0),1)</f>
        <v>0.707106781186548</v>
      </c>
      <c r="O129" s="9" t="str">
        <f>IF($B$7&gt;2,COMPLEX(0,$D129*$B$18),0)</f>
        <v>120.913558756098i</v>
      </c>
      <c r="P129" s="9" t="str">
        <f>IF($B$7&gt;2,COMPLEX(0,$D129/$B$18),0)</f>
        <v>4.13518554200014E-003i</v>
      </c>
      <c r="Q129" s="9" t="str">
        <f>IF($B$7&gt;2,COMPLEX($E129,0),1)</f>
        <v>0.707106781186548</v>
      </c>
      <c r="R129" s="9" t="str">
        <f>IF($B$7&gt;3,COMPLEX($E129,0),1)</f>
        <v>0.707106781186548</v>
      </c>
      <c r="S129" s="9" t="str">
        <f>IF($B$7&gt;3,COMPLEX(0,$D129*$B$19),0)</f>
        <v>144.59002653627i</v>
      </c>
      <c r="T129" s="9" t="str">
        <f>IF($B$7&gt;3,COMPLEX(0,$D129/$B$19),0)</f>
        <v>3.45805317266869E-003i</v>
      </c>
      <c r="U129" s="9" t="str">
        <f>IF($B$7&gt;3,COMPLEX($E129,0),1)</f>
        <v>0.707106781186548</v>
      </c>
      <c r="V129" s="9" t="str">
        <f>IF($B$7&gt;4,COMPLEX($E129,0),1)</f>
        <v>0.707106781186548</v>
      </c>
      <c r="W129" s="9" t="str">
        <f>IF($B$7&gt;4,COMPLEX(0,$D129*$B$20),0)</f>
        <v>172.902658633435i</v>
      </c>
      <c r="X129" s="9" t="str">
        <f>IF($B$7&gt;4,COMPLEX(0,$D129/$B$20),0)</f>
        <v>2.8918005307254E-003i</v>
      </c>
      <c r="Y129" s="9" t="str">
        <f>IF($B$7&gt;4,COMPLEX($E129,0),1)</f>
        <v>0.707106781186548</v>
      </c>
      <c r="Z129" s="9" t="str">
        <f>IF($B$7&gt;5,COMPLEX($E129,0),1)</f>
        <v>0.707106781186548</v>
      </c>
      <c r="AA129" s="9" t="str">
        <f>IF($B$7&gt;5,COMPLEX(0,$D129*$B$21),0)</f>
        <v>206.759277100007i</v>
      </c>
      <c r="AB129" s="9" t="str">
        <f>IF($B$7&gt;5,COMPLEX(0,$D129/$B$21),0)</f>
        <v>2.41827117512196E-003i</v>
      </c>
      <c r="AC129" s="9" t="str">
        <f>IF($B$7&gt;5,COMPLEX($E129,0),1)</f>
        <v>0.707106781186548</v>
      </c>
      <c r="AD129" s="9" t="str">
        <f>IF($B$7&gt;6,COMPLEX($E129,0),1)</f>
        <v>0.707106781186548</v>
      </c>
      <c r="AE129" s="9" t="str">
        <f>IF($B$7&gt;6,COMPLEX(0,$D129*$B$22),0)</f>
        <v>247.245467506367i</v>
      </c>
      <c r="AF129" s="9" t="str">
        <f>IF($B$7&gt;6,COMPLEX(0,$D129/$B$22),0)</f>
        <v>2.02228176331331E-003i</v>
      </c>
      <c r="AG129" s="9" t="str">
        <f>IF($B$7&gt;6,COMPLEX($E129,0),1)</f>
        <v>0.707106781186548</v>
      </c>
      <c r="AH129" s="9" t="str">
        <f>IF($B$7&gt;7,COMPLEX($E129,0),1)</f>
        <v>0.707106781186548</v>
      </c>
      <c r="AI129" s="9" t="str">
        <f>IF($B$7&gt;7,COMPLEX(0,$D129*$B$23),0)</f>
        <v>295.659387379625i</v>
      </c>
      <c r="AJ129" s="9" t="str">
        <f>IF($B$7&gt;7,COMPLEX(0,$D129/$B$23),0)</f>
        <v>1.69113520944289E-003i</v>
      </c>
      <c r="AK129" s="9" t="str">
        <f>IF($B$7&gt;7,COMPLEX($E129,0),1)</f>
        <v>0.707106781186548</v>
      </c>
      <c r="AL129" s="4" t="str">
        <f>IMSUM(IMPRODUCT(F129,J129),IMPRODUCT(G129,L129))</f>
        <v>8.1874484524814E-002</v>
      </c>
      <c r="AM129" s="5" t="str">
        <f>IMSUM(IMPRODUCT(F129,K129),IMPRODUCT(G129,M129))</f>
        <v>131.289116140456i</v>
      </c>
      <c r="AN129" s="5" t="str">
        <f>IMSUM(IMPRODUCT(H129,J129),IMPRODUCT(I129,L129))</f>
        <v>7.67783408857969E-003i</v>
      </c>
      <c r="AO129" s="5" t="str">
        <f>IMSUM(IMPRODUCT(H129,K129),IMPRODUCT(I129,M129))</f>
        <v>-9.7906587250197E-002</v>
      </c>
      <c r="AP129" s="4" t="str">
        <f>IMSUM(IMPRODUCT(AL129,N129),IMPRODUCT(AM129,P129))</f>
        <v>-0.485010851672342</v>
      </c>
      <c r="AQ129" s="5" t="str">
        <f>IMSUM(IMPRODUCT(AL129,O129),IMPRODUCT(AM129,Q129))</f>
        <v>102.735159614121i</v>
      </c>
      <c r="AR129" s="5" t="str">
        <f>IMSUM(IMPRODUCT(AN129,N129),IMPRODUCT(AO129,P129))</f>
        <v>5.02418664479635E-003i</v>
      </c>
      <c r="AS129" s="5" t="str">
        <f>IMSUM(IMPRODUCT(AN129,O129),IMPRODUCT(AO129,Q129))</f>
        <v>-0.997584654956499</v>
      </c>
      <c r="AT129" s="4" t="str">
        <f>IMSUM(IMPRODUCT(AP129,R129),IMPRODUCT(AQ129,T129))</f>
        <v>-0.698218106814811</v>
      </c>
      <c r="AU129" s="5" t="str">
        <f>IMSUM(IMPRODUCT(AP129,S129),IMPRODUCT(AQ129,U129))</f>
        <v>2.5169961157445i</v>
      </c>
      <c r="AV129" s="5" t="str">
        <f>IMSUM(IMPRODUCT(AR129,R129),IMPRODUCT(AS129,T129))</f>
        <v>1.0293566540447E-004i</v>
      </c>
      <c r="AW129" s="5" t="str">
        <f>IMSUM(IMPRODUCT(AR129,S129),IMPRODUCT(AS129,U129))</f>
        <v>-1.43184615462166</v>
      </c>
      <c r="AX129" s="4" t="str">
        <f>IMSUM(IMPRODUCT(AT129,V129),IMPRODUCT(AU129,X129))</f>
        <v>-0.50099340877933</v>
      </c>
      <c r="AY129" s="5" t="str">
        <f>IMSUM(IMPRODUCT(AT129,W129),IMPRODUCT(AU129,Y129))</f>
        <v>-118.943981952622i</v>
      </c>
      <c r="AZ129" s="5" t="str">
        <f>IMSUM(IMPRODUCT(AV129,V129),IMPRODUCT(AW129,X129))</f>
        <v>-4.06782696281859E-003i</v>
      </c>
      <c r="BA129" s="5" t="str">
        <f>IMSUM(IMPRODUCT(AV129,W129),IMPRODUCT(AW129,Y129))</f>
        <v>-1.03026597576549</v>
      </c>
      <c r="BB129" s="4" t="str">
        <f>IMSUM(IMPRODUCT(AX129,Z129),IMPRODUCT(AY129,AB129))</f>
        <v>-6.6617033667377E-002</v>
      </c>
      <c r="BC129" s="5" t="str">
        <f>IMSUM(IMPRODUCT(AX129,AA129),IMPRODUCT(AY129,AC129))</f>
        <v>-187.691131251112i</v>
      </c>
      <c r="BD129" s="5" t="str">
        <f>IMSUM(IMPRODUCT(AZ129,Z129),IMPRODUCT(BA129,AB129))</f>
        <v>-5.36785054200508E-003i</v>
      </c>
      <c r="BE129" s="5" t="str">
        <f>IMSUM(IMPRODUCT(AZ129,AA129),IMPRODUCT(BA129,AC129))</f>
        <v>0.112552904310735</v>
      </c>
      <c r="BF129" s="4" t="str">
        <f>IMSUM(IMPRODUCT(BB129,AD129),IMPRODUCT(BC129,AF129))</f>
        <v>0.332458995616034</v>
      </c>
      <c r="BG129" s="5" t="str">
        <f>IMSUM(IMPRODUCT(BB129,AE129),IMPRODUCT(BC129,AG129))</f>
        <v>-149.188431309214i</v>
      </c>
      <c r="BH129" s="5" t="str">
        <f>IMSUM(IMPRODUCT(BD129,AD129),IMPRODUCT(BE129,AF129))</f>
        <v>-3.56802983285213E-003i</v>
      </c>
      <c r="BI129" s="5" t="str">
        <f>IMSUM(IMPRODUCT(BD129,AE129),IMPRODUCT(BE129,AG129))</f>
        <v>1.40676363864271</v>
      </c>
      <c r="BJ129" s="4" t="str">
        <f>IMSUM(IMPRODUCT(BF129,AH129),IMPRODUCT(BG129,AJ129))</f>
        <v>0.48738181929513</v>
      </c>
      <c r="BK129" s="5" t="str">
        <f>IMSUM(IMPRODUCT(BF129,AI129),IMPRODUCT(BG129,AK129))</f>
        <v>-7.19752848064699i</v>
      </c>
      <c r="BL129" s="5" t="str">
        <f>IMSUM(IMPRODUCT(BH129,AH129),IMPRODUCT(BI129,AJ129))</f>
        <v>-1.4395056961297E-004i</v>
      </c>
      <c r="BM129" s="5" t="str">
        <f>IMSUM(IMPRODUCT(BH129,AI129),IMPRODUCT(BI129,AK129))</f>
        <v>2.04965362294421</v>
      </c>
      <c r="BN129" s="4">
        <f t="shared" si="4"/>
        <v>500</v>
      </c>
      <c r="BO129" s="4">
        <v>1</v>
      </c>
      <c r="BP129" s="4" t="str">
        <f>IMSUM(IMPRODUCT($BJ129,$BN129),IMPRODUCT($BK129,$BO129))</f>
        <v>243.690909647565-7.19752848064699i</v>
      </c>
      <c r="BQ129" s="4" t="str">
        <f>IMSUM(IMPRODUCT($BL129,$BN129),IMPRODUCT($BM129,$BO129))</f>
        <v>2.04965362294421-7.1975284806485E-002i</v>
      </c>
      <c r="BR129" s="4" t="str">
        <f>IMDIV($BP129,$BQ129)</f>
        <v>118.870433731859+0.662650911876035i</v>
      </c>
      <c r="BS129" s="4" t="str">
        <f>IMDIV(IMSUB($BQ$100,$BR129),IMSUM($BQ$100,$BR129))</f>
        <v>-8.62257485349264E-002-2.76653785830202E-003i</v>
      </c>
      <c r="BT129" s="4">
        <f>IMABS($BS129)</f>
        <v>0.0862701190571207</v>
      </c>
      <c r="BU129" s="4">
        <f t="shared" si="5"/>
        <v>1.1888306836766647</v>
      </c>
      <c r="BV129" s="4">
        <f t="shared" si="6"/>
        <v>-0.032443392887991994</v>
      </c>
    </row>
    <row r="130" spans="1:74" ht="12.75">
      <c r="A130" s="5">
        <v>27</v>
      </c>
      <c r="B130" s="5">
        <f t="shared" si="1"/>
        <v>5.2</v>
      </c>
      <c r="C130" s="4">
        <f t="shared" si="0"/>
        <v>0.8168140899333463</v>
      </c>
      <c r="D130" s="4">
        <f t="shared" si="2"/>
        <v>0.7289686274214114</v>
      </c>
      <c r="E130" s="5">
        <f t="shared" si="3"/>
        <v>0.6845471059286887</v>
      </c>
      <c r="F130" s="9" t="str">
        <f>IF($B$7&gt;0,COMPLEX($E130,0),1)</f>
        <v>0.684547105928689</v>
      </c>
      <c r="G130" s="9" t="str">
        <f>IF($B$7&gt;0,COMPLEX(0,$D130*$B$16),0)</f>
        <v>87.1710288467999i</v>
      </c>
      <c r="H130" s="9" t="str">
        <f>IF($B$7&gt;0,COMPLEX(0,$D130/$B$16),0)</f>
        <v>6.09600766211634E-003i</v>
      </c>
      <c r="I130" s="9" t="str">
        <f>IF($B$7&gt;0,COMPLEX($E130,0),1)</f>
        <v>0.684547105928689</v>
      </c>
      <c r="J130" s="9" t="str">
        <f>IF($B$7&gt;1,COMPLEX($E130,0),1)</f>
        <v>0.684547105928689</v>
      </c>
      <c r="K130" s="9" t="str">
        <f>IF($B$7&gt;1,COMPLEX(0,$D130*$B$17),0)</f>
        <v>104.240264729758i</v>
      </c>
      <c r="L130" s="9" t="str">
        <f>IF($B$7&gt;1,COMPLEX(0,$D130/$B$17),0)</f>
        <v>5.09779269212616E-003i</v>
      </c>
      <c r="M130" s="9" t="str">
        <f>IF($B$7&gt;1,COMPLEX($E130,0),1)</f>
        <v>0.684547105928689</v>
      </c>
      <c r="N130" s="9" t="str">
        <f>IF($B$7&gt;2,COMPLEX($E130,0),1)</f>
        <v>0.684547105928689</v>
      </c>
      <c r="O130" s="9" t="str">
        <f>IF($B$7&gt;2,COMPLEX(0,$D130*$B$18),0)</f>
        <v>124.651881877254i</v>
      </c>
      <c r="P130" s="9" t="str">
        <f>IF($B$7&gt;2,COMPLEX(0,$D130/$B$18),0)</f>
        <v>4.26303439436179E-003i</v>
      </c>
      <c r="Q130" s="9" t="str">
        <f>IF($B$7&gt;2,COMPLEX($E130,0),1)</f>
        <v>0.684547105928689</v>
      </c>
      <c r="R130" s="9" t="str">
        <f>IF($B$7&gt;3,COMPLEX($E130,0),1)</f>
        <v>0.684547105928689</v>
      </c>
      <c r="S130" s="9" t="str">
        <f>IF($B$7&gt;3,COMPLEX(0,$D130*$B$19),0)</f>
        <v>149.060362575088i</v>
      </c>
      <c r="T130" s="9" t="str">
        <f>IF($B$7&gt;3,COMPLEX(0,$D130/$B$19),0)</f>
        <v>3.56496690726194E-003i</v>
      </c>
      <c r="U130" s="9" t="str">
        <f>IF($B$7&gt;3,COMPLEX($E130,0),1)</f>
        <v>0.684547105928689</v>
      </c>
      <c r="V130" s="9" t="str">
        <f>IF($B$7&gt;4,COMPLEX($E130,0),1)</f>
        <v>0.684547105928689</v>
      </c>
      <c r="W130" s="9" t="str">
        <f>IF($B$7&gt;4,COMPLEX(0,$D130*$B$20),0)</f>
        <v>178.248345363097i</v>
      </c>
      <c r="X130" s="9" t="str">
        <f>IF($B$7&gt;4,COMPLEX(0,$D130/$B$20),0)</f>
        <v>2.98120725150177E-003i</v>
      </c>
      <c r="Y130" s="9" t="str">
        <f>IF($B$7&gt;4,COMPLEX($E130,0),1)</f>
        <v>0.684547105928689</v>
      </c>
      <c r="Z130" s="9" t="str">
        <f>IF($B$7&gt;5,COMPLEX($E130,0),1)</f>
        <v>0.684547105928689</v>
      </c>
      <c r="AA130" s="9" t="str">
        <f>IF($B$7&gt;5,COMPLEX(0,$D130*$B$21),0)</f>
        <v>213.151719718089i</v>
      </c>
      <c r="AB130" s="9" t="str">
        <f>IF($B$7&gt;5,COMPLEX(0,$D130/$B$21),0)</f>
        <v>2.49303763754508E-003i</v>
      </c>
      <c r="AC130" s="9" t="str">
        <f>IF($B$7&gt;5,COMPLEX($E130,0),1)</f>
        <v>0.684547105928689</v>
      </c>
      <c r="AD130" s="9" t="str">
        <f>IF($B$7&gt;6,COMPLEX($E130,0),1)</f>
        <v>0.684547105928689</v>
      </c>
      <c r="AE130" s="9" t="str">
        <f>IF($B$7&gt;6,COMPLEX(0,$D130*$B$22),0)</f>
        <v>254.889634606308i</v>
      </c>
      <c r="AF130" s="9" t="str">
        <f>IF($B$7&gt;6,COMPLEX(0,$D130/$B$22),0)</f>
        <v>2.08480529459516E-003i</v>
      </c>
      <c r="AG130" s="9" t="str">
        <f>IF($B$7&gt;6,COMPLEX($E130,0),1)</f>
        <v>0.684547105928689</v>
      </c>
      <c r="AH130" s="9" t="str">
        <f>IF($B$7&gt;7,COMPLEX($E130,0),1)</f>
        <v>0.684547105928689</v>
      </c>
      <c r="AI130" s="9" t="str">
        <f>IF($B$7&gt;7,COMPLEX(0,$D130*$B$23),0)</f>
        <v>304.800383105817i</v>
      </c>
      <c r="AJ130" s="9" t="str">
        <f>IF($B$7&gt;7,COMPLEX(0,$D130/$B$23),0)</f>
        <v>1.743420576936E-003i</v>
      </c>
      <c r="AK130" s="9" t="str">
        <f>IF($B$7&gt;7,COMPLEX($E130,0),1)</f>
        <v>0.684547105928689</v>
      </c>
      <c r="AL130" s="4" t="str">
        <f>IMSUM(IMPRODUCT(F130,J130),IMPRODUCT(G130,L130))</f>
        <v>2.4224906415009E-002</v>
      </c>
      <c r="AM130" s="5" t="str">
        <f>IMSUM(IMPRODUCT(F130,K130),IMPRODUCT(G130,M130))</f>
        <v>131.030047059899i</v>
      </c>
      <c r="AN130" s="5" t="str">
        <f>IMSUM(IMPRODUCT(H130,J130),IMPRODUCT(I130,L130))</f>
        <v>7.66268363684023E-003i</v>
      </c>
      <c r="AO130" s="5" t="str">
        <f>IMSUM(IMPRODUCT(H130,K130),IMPRODUCT(I130,M130))</f>
        <v>-0.166844712258296</v>
      </c>
      <c r="AP130" s="4" t="str">
        <f>IMSUM(IMPRODUCT(AL130,N130),IMPRODUCT(AM130,P130))</f>
        <v>-0.542002507733405</v>
      </c>
      <c r="AQ130" s="5" t="str">
        <f>IMSUM(IMPRODUCT(AL130,O130),IMPRODUCT(AM130,Q130))</f>
        <v>92.715919677485i</v>
      </c>
      <c r="AR130" s="5" t="str">
        <f>IMSUM(IMPRODUCT(AN130,N130),IMPRODUCT(AO130,P130))</f>
        <v>4.53420316037159E-003i</v>
      </c>
      <c r="AS130" s="5" t="str">
        <f>IMSUM(IMPRODUCT(AN130,O130),IMPRODUCT(AO130,Q130))</f>
        <v>-1.0693810004781</v>
      </c>
      <c r="AT130" s="4" t="str">
        <f>IMSUM(IMPRODUCT(AP130,R130),IMPRODUCT(AQ130,T130))</f>
        <v>-0.701555433501584</v>
      </c>
      <c r="AU130" s="5" t="str">
        <f>IMSUM(IMPRODUCT(AP130,S130),IMPRODUCT(AQ130,U130))</f>
        <v>-17.3226758306092i</v>
      </c>
      <c r="AV130" s="5" t="str">
        <f>IMSUM(IMPRODUCT(AR130,R130),IMPRODUCT(AS130,T130))</f>
        <v>-7.08432226834E-004i</v>
      </c>
      <c r="AW130" s="5" t="str">
        <f>IMSUM(IMPRODUCT(AR130,S130),IMPRODUCT(AS130,U130))</f>
        <v>-1.40791163608651</v>
      </c>
      <c r="AX130" s="4" t="str">
        <f>IMSUM(IMPRODUCT(AT130,V130),IMPRODUCT(AU130,X130))</f>
        <v>-0.428605254850429</v>
      </c>
      <c r="AY130" s="5" t="str">
        <f>IMSUM(IMPRODUCT(AT130,W130),IMPRODUCT(AU130,Y130))</f>
        <v>-136.909282808932i</v>
      </c>
      <c r="AZ130" s="5" t="str">
        <f>IMSUM(IMPRODUCT(AV130,V130),IMPRODUCT(AW130,X130))</f>
        <v>-4.68223160960065E-003i</v>
      </c>
      <c r="BA130" s="5" t="str">
        <f>IMSUM(IMPRODUCT(AV130,W130),IMPRODUCT(AW130,Y130))</f>
        <v>-0.837504963651291</v>
      </c>
      <c r="BB130" s="4" t="str">
        <f>IMSUM(IMPRODUCT(AX130,Z130),IMPRODUCT(AY130,AB130))</f>
        <v>4.7919508178282E-002</v>
      </c>
      <c r="BC130" s="5" t="str">
        <f>IMSUM(IMPRODUCT(AX130,AA130),IMPRODUCT(AY130,AC130))</f>
        <v>-185.078800473205i</v>
      </c>
      <c r="BD130" s="5" t="str">
        <f>IMSUM(IMPRODUCT(AZ130,Z130),IMPRODUCT(BA130,AB130))</f>
        <v>-5.29313949365344E-003i</v>
      </c>
      <c r="BE130" s="5" t="str">
        <f>IMSUM(IMPRODUCT(AZ130,AA130),IMPRODUCT(BA130,AC130))</f>
        <v>0.424714120636371</v>
      </c>
      <c r="BF130" s="4" t="str">
        <f>IMSUM(IMPRODUCT(BB130,AD130),IMPRODUCT(BC130,AF130))</f>
        <v>0.418656423784828</v>
      </c>
      <c r="BG130" s="5" t="str">
        <f>IMSUM(IMPRODUCT(BB130,AE130),IMPRODUCT(BC130,AG130))</f>
        <v>-114.48097130261i</v>
      </c>
      <c r="BH130" s="5" t="str">
        <f>IMSUM(IMPRODUCT(BD130,AD130),IMPRODUCT(BE130,AF130))</f>
        <v>-2.73795707426528E-003i</v>
      </c>
      <c r="BI130" s="5" t="str">
        <f>IMSUM(IMPRODUCT(BD130,AE130),IMPRODUCT(BE130,AG130))</f>
        <v>1.63990321358622</v>
      </c>
      <c r="BJ130" s="4" t="str">
        <f>IMSUM(IMPRODUCT(BF130,AH130),IMPRODUCT(BG130,AJ130))</f>
        <v>0.486178524316949</v>
      </c>
      <c r="BK130" s="5" t="str">
        <f>IMSUM(IMPRODUCT(BF130,AI130),IMPRODUCT(BG130,AK130))</f>
        <v>49.23902077022i</v>
      </c>
      <c r="BL130" s="5" t="str">
        <f>IMSUM(IMPRODUCT(BH130,AH130),IMPRODUCT(BI130,AJ130))</f>
        <v>9.8478041540441E-004i</v>
      </c>
      <c r="BM130" s="5" t="str">
        <f>IMSUM(IMPRODUCT(BH130,AI130),IMPRODUCT(BI130,AK130))</f>
        <v>1.95712136402694</v>
      </c>
      <c r="BN130" s="4">
        <f t="shared" si="4"/>
        <v>500</v>
      </c>
      <c r="BO130" s="4">
        <v>1</v>
      </c>
      <c r="BP130" s="4" t="str">
        <f>IMSUM(IMPRODUCT($BJ130,$BN130),IMPRODUCT($BK130,$BO130))</f>
        <v>243.089262158475+49.23902077022i</v>
      </c>
      <c r="BQ130" s="4" t="str">
        <f>IMSUM(IMPRODUCT($BL130,$BN130),IMPRODUCT($BM130,$BO130))</f>
        <v>1.95712136402694+0.492390207702205i</v>
      </c>
      <c r="BR130" s="4" t="str">
        <f>IMDIV($BP130,$BQ130)</f>
        <v>122.766504376858-5.72780207953446i</v>
      </c>
      <c r="BS130" s="4" t="str">
        <f>IMDIV(IMSUB($BQ$100,$BR130),IMSUM($BQ$100,$BR130))</f>
        <v>-0.102792113407076+2.3069128875443E-002i</v>
      </c>
      <c r="BT130" s="4">
        <f>IMABS($BS130)</f>
        <v>0.10534895958558382</v>
      </c>
      <c r="BU130" s="4">
        <f t="shared" si="5"/>
        <v>1.2355084939861796</v>
      </c>
      <c r="BV130" s="4">
        <f t="shared" si="6"/>
        <v>-0.048469218813021527</v>
      </c>
    </row>
    <row r="131" spans="1:74" ht="12.75">
      <c r="A131" s="5">
        <v>28</v>
      </c>
      <c r="B131" s="5">
        <f t="shared" si="1"/>
        <v>5.4</v>
      </c>
      <c r="C131" s="4">
        <f t="shared" si="0"/>
        <v>0.8482300164692442</v>
      </c>
      <c r="D131" s="4">
        <f t="shared" si="2"/>
        <v>0.7501110696304596</v>
      </c>
      <c r="E131" s="5">
        <f t="shared" si="3"/>
        <v>0.6613118653236518</v>
      </c>
      <c r="F131" s="9" t="str">
        <f>IF($B$7&gt;0,COMPLEX($E131,0),1)</f>
        <v>0.661311865323652</v>
      </c>
      <c r="G131" s="9" t="str">
        <f>IF($B$7&gt;0,COMPLEX(0,$D131*$B$16),0)</f>
        <v>89.6992699402692i</v>
      </c>
      <c r="H131" s="9" t="str">
        <f>IF($B$7&gt;0,COMPLEX(0,$D131/$B$16),0)</f>
        <v>6.27281155305759E-003i</v>
      </c>
      <c r="I131" s="9" t="str">
        <f>IF($B$7&gt;0,COMPLEX($E131,0),1)</f>
        <v>0.661311865323652</v>
      </c>
      <c r="J131" s="9" t="str">
        <f>IF($B$7&gt;1,COMPLEX($E131,0),1)</f>
        <v>0.661311865323652</v>
      </c>
      <c r="K131" s="9" t="str">
        <f>IF($B$7&gt;1,COMPLEX(0,$D131*$B$17),0)</f>
        <v>107.263568737642i</v>
      </c>
      <c r="L131" s="9" t="str">
        <f>IF($B$7&gt;1,COMPLEX(0,$D131/$B$17),0)</f>
        <v>5.24564512820182E-003i</v>
      </c>
      <c r="M131" s="9" t="str">
        <f>IF($B$7&gt;1,COMPLEX($E131,0),1)</f>
        <v>0.661311865323652</v>
      </c>
      <c r="N131" s="9" t="str">
        <f>IF($B$7&gt;2,COMPLEX($E131,0),1)</f>
        <v>0.661311865323652</v>
      </c>
      <c r="O131" s="9" t="str">
        <f>IF($B$7&gt;2,COMPLEX(0,$D131*$B$18),0)</f>
        <v>128.267188640401i</v>
      </c>
      <c r="P131" s="9" t="str">
        <f>IF($B$7&gt;2,COMPLEX(0,$D131/$B$18),0)</f>
        <v>4.38667614645858E-003i</v>
      </c>
      <c r="Q131" s="9" t="str">
        <f>IF($B$7&gt;2,COMPLEX($E131,0),1)</f>
        <v>0.661311865323652</v>
      </c>
      <c r="R131" s="9" t="str">
        <f>IF($B$7&gt;3,COMPLEX($E131,0),1)</f>
        <v>0.661311865323652</v>
      </c>
      <c r="S131" s="9" t="str">
        <f>IF($B$7&gt;3,COMPLEX(0,$D131*$B$19),0)</f>
        <v>153.38359403232i</v>
      </c>
      <c r="T131" s="9" t="str">
        <f>IF($B$7&gt;3,COMPLEX(0,$D131/$B$19),0)</f>
        <v>3.6683624499214E-003i</v>
      </c>
      <c r="U131" s="9" t="str">
        <f>IF($B$7&gt;3,COMPLEX($E131,0),1)</f>
        <v>0.661311865323652</v>
      </c>
      <c r="V131" s="9" t="str">
        <f>IF($B$7&gt;4,COMPLEX($E131,0),1)</f>
        <v>0.661311865323652</v>
      </c>
      <c r="W131" s="9" t="str">
        <f>IF($B$7&gt;4,COMPLEX(0,$D131*$B$20),0)</f>
        <v>183.41812249607i</v>
      </c>
      <c r="X131" s="9" t="str">
        <f>IF($B$7&gt;4,COMPLEX(0,$D131/$B$20),0)</f>
        <v>3.06767188064641E-003i</v>
      </c>
      <c r="Y131" s="9" t="str">
        <f>IF($B$7&gt;4,COMPLEX($E131,0),1)</f>
        <v>0.661311865323652</v>
      </c>
      <c r="Z131" s="9" t="str">
        <f>IF($B$7&gt;5,COMPLEX($E131,0),1)</f>
        <v>0.661311865323652</v>
      </c>
      <c r="AA131" s="9" t="str">
        <f>IF($B$7&gt;5,COMPLEX(0,$D131*$B$21),0)</f>
        <v>219.333807322929i</v>
      </c>
      <c r="AB131" s="9" t="str">
        <f>IF($B$7&gt;5,COMPLEX(0,$D131/$B$21),0)</f>
        <v>2.56534377280803E-003i</v>
      </c>
      <c r="AC131" s="9" t="str">
        <f>IF($B$7&gt;5,COMPLEX($E131,0),1)</f>
        <v>0.661311865323652</v>
      </c>
      <c r="AD131" s="9" t="str">
        <f>IF($B$7&gt;6,COMPLEX($E131,0),1)</f>
        <v>0.661311865323652</v>
      </c>
      <c r="AE131" s="9" t="str">
        <f>IF($B$7&gt;6,COMPLEX(0,$D131*$B$22),0)</f>
        <v>262.282256410091i</v>
      </c>
      <c r="AF131" s="9" t="str">
        <f>IF($B$7&gt;6,COMPLEX(0,$D131/$B$22),0)</f>
        <v>2.14527137475284E-003i</v>
      </c>
      <c r="AG131" s="9" t="str">
        <f>IF($B$7&gt;6,COMPLEX($E131,0),1)</f>
        <v>0.661311865323652</v>
      </c>
      <c r="AH131" s="9" t="str">
        <f>IF($B$7&gt;7,COMPLEX($E131,0),1)</f>
        <v>0.661311865323652</v>
      </c>
      <c r="AI131" s="9" t="str">
        <f>IF($B$7&gt;7,COMPLEX(0,$D131*$B$23),0)</f>
        <v>313.64057765288i</v>
      </c>
      <c r="AJ131" s="9" t="str">
        <f>IF($B$7&gt;7,COMPLEX(0,$D131/$B$23),0)</f>
        <v>1.79398539880538E-003i</v>
      </c>
      <c r="AK131" s="9" t="str">
        <f>IF($B$7&gt;7,COMPLEX($E131,0),1)</f>
        <v>0.661311865323652</v>
      </c>
      <c r="AL131" s="4" t="str">
        <f>IMSUM(IMPRODUCT(F131,J131),IMPRODUCT(G131,L131))</f>
        <v>-3.3197155147585E-002</v>
      </c>
      <c r="AM131" s="5" t="str">
        <f>IMSUM(IMPRODUCT(F131,K131),IMPRODUCT(G131,M131))</f>
        <v>130.253862245531i</v>
      </c>
      <c r="AN131" s="5" t="str">
        <f>IMSUM(IMPRODUCT(H131,J131),IMPRODUCT(I131,L131))</f>
        <v>7.61729207353334E-003i</v>
      </c>
      <c r="AO131" s="5" t="str">
        <f>IMSUM(IMPRODUCT(H131,K131),IMPRODUCT(I131,M131))</f>
        <v>-0.23551076998182</v>
      </c>
      <c r="AP131" s="4" t="str">
        <f>IMSUM(IMPRODUCT(AL131,N131),IMPRODUCT(AM131,P131))</f>
        <v>-0.593335183090661</v>
      </c>
      <c r="AQ131" s="5" t="str">
        <f>IMSUM(IMPRODUCT(AL131,O131),IMPRODUCT(AM131,Q131))</f>
        <v>81.8803188455622i</v>
      </c>
      <c r="AR131" s="5" t="str">
        <f>IMSUM(IMPRODUCT(AN131,N131),IMPRODUCT(AO131,P131))</f>
        <v>4.00429615295006E-003i</v>
      </c>
      <c r="AS131" s="5" t="str">
        <f>IMSUM(IMPRODUCT(AN131,O131),IMPRODUCT(AO131,Q131))</f>
        <v>-1.13279470592542</v>
      </c>
      <c r="AT131" s="4" t="str">
        <f>IMSUM(IMPRODUCT(AP131,R131),IMPRODUCT(AQ131,T131))</f>
        <v>-0.692746283732488</v>
      </c>
      <c r="AU131" s="5" t="str">
        <f>IMSUM(IMPRODUCT(AP131,S131),IMPRODUCT(AQ131,U131))</f>
        <v>-36.8594564592161i</v>
      </c>
      <c r="AV131" s="5" t="str">
        <f>IMSUM(IMPRODUCT(AR131,R131),IMPRODUCT(AS131,T131))</f>
        <v>-1.50741300447084E-003i</v>
      </c>
      <c r="AW131" s="5" t="str">
        <f>IMSUM(IMPRODUCT(AR131,S131),IMPRODUCT(AS131,U131))</f>
        <v>-1.36332391551357</v>
      </c>
      <c r="AX131" s="4" t="str">
        <f>IMSUM(IMPRODUCT(AT131,V131),IMPRODUCT(AU131,X131))</f>
        <v>-0.345048618975312</v>
      </c>
      <c r="AY131" s="5" t="str">
        <f>IMSUM(IMPRODUCT(AT131,W131),IMPRODUCT(AU131,Y131))</f>
        <v>-151.437818634203i</v>
      </c>
      <c r="AZ131" s="5" t="str">
        <f>IMSUM(IMPRODUCT(AV131,V131),IMPRODUCT(AW131,X131))</f>
        <v>-5.17910054563348E-003i</v>
      </c>
      <c r="BA131" s="5" t="str">
        <f>IMSUM(IMPRODUCT(AV131,W131),IMPRODUCT(AW131,Y131))</f>
        <v>-0.625095418502423</v>
      </c>
      <c r="BB131" s="4" t="str">
        <f>IMSUM(IMPRODUCT(AX131,Z131),IMPRODUCT(AY131,AB131))</f>
        <v>0.160305319158971</v>
      </c>
      <c r="BC131" s="5" t="str">
        <f>IMSUM(IMPRODUCT(AX131,AA131),IMPRODUCT(AY131,AC131))</f>
        <v>-175.828453632904i</v>
      </c>
      <c r="BD131" s="5" t="str">
        <f>IMSUM(IMPRODUCT(AZ131,Z131),IMPRODUCT(BA131,AB131))</f>
        <v>-5.02858528179764E-003i</v>
      </c>
      <c r="BE131" s="5" t="str">
        <f>IMSUM(IMPRODUCT(AZ131,AA131),IMPRODUCT(BA131,AC131))</f>
        <v>0.722568823966944</v>
      </c>
      <c r="BF131" s="4" t="str">
        <f>IMSUM(IMPRODUCT(BB131,AD131),IMPRODUCT(BC131,AF131))</f>
        <v>0.483211558080049</v>
      </c>
      <c r="BG131" s="5" t="str">
        <f>IMSUM(IMPRODUCT(BB131,AE131),IMPRODUCT(BC131,AG131))</f>
        <v>-74.2322018253943i</v>
      </c>
      <c r="BH131" s="5" t="str">
        <f>IMSUM(IMPRODUCT(BD131,AD131),IMPRODUCT(BE131,AF131))</f>
        <v>-1.77535689829955E-003i</v>
      </c>
      <c r="BI131" s="5" t="str">
        <f>IMSUM(IMPRODUCT(BD131,AE131),IMPRODUCT(BE131,AG131))</f>
        <v>1.79675203106276</v>
      </c>
      <c r="BJ131" s="4" t="str">
        <f>IMSUM(IMPRODUCT(BF131,AH131),IMPRODUCT(BG131,AJ131))</f>
        <v>0.452725023015796</v>
      </c>
      <c r="BK131" s="5" t="str">
        <f>IMSUM(IMPRODUCT(BF131,AI131),IMPRODUCT(BG131,AK131))</f>
        <v>102.464116348542i</v>
      </c>
      <c r="BL131" s="5" t="str">
        <f>IMSUM(IMPRODUCT(BH131,AH131),IMPRODUCT(BI131,AJ131))</f>
        <v>2.04928232697081E-003i</v>
      </c>
      <c r="BM131" s="5" t="str">
        <f>IMSUM(IMPRODUCT(BH131,AI131),IMPRODUCT(BI131,AK131))</f>
        <v>1.74503740030887</v>
      </c>
      <c r="BN131" s="4">
        <f t="shared" si="4"/>
        <v>500</v>
      </c>
      <c r="BO131" s="4">
        <v>1</v>
      </c>
      <c r="BP131" s="4" t="str">
        <f>IMSUM(IMPRODUCT($BJ131,$BN131),IMPRODUCT($BK131,$BO131))</f>
        <v>226.362511507898+102.464116348542i</v>
      </c>
      <c r="BQ131" s="4" t="str">
        <f>IMSUM(IMPRODUCT($BL131,$BN131),IMPRODUCT($BM131,$BO131))</f>
        <v>1.74503740030887+1.02464116348541i</v>
      </c>
      <c r="BR131" s="4" t="str">
        <f>IMDIV($BP131,$BQ131)</f>
        <v>122.098779091509-12.9758357705812i</v>
      </c>
      <c r="BS131" s="4" t="str">
        <f>IMDIV(IMSUB($BQ$100,$BR131),IMSUM($BQ$100,$BR131))</f>
        <v>-0.102563026420287+5.24316019712104E-002i</v>
      </c>
      <c r="BT131" s="4">
        <f>IMABS($BS131)</f>
        <v>0.11518787815458674</v>
      </c>
      <c r="BU131" s="4">
        <f t="shared" si="5"/>
        <v>1.2603668627738611</v>
      </c>
      <c r="BV131" s="4">
        <f t="shared" si="6"/>
        <v>-0.05800896109113655</v>
      </c>
    </row>
    <row r="132" spans="1:74" ht="12.75">
      <c r="A132" s="5">
        <v>29</v>
      </c>
      <c r="B132" s="5">
        <f t="shared" si="1"/>
        <v>5.6000000000000005</v>
      </c>
      <c r="C132" s="4">
        <f t="shared" si="0"/>
        <v>0.8796459430051422</v>
      </c>
      <c r="D132" s="4">
        <f t="shared" si="2"/>
        <v>0.7705132427757893</v>
      </c>
      <c r="E132" s="5">
        <f t="shared" si="3"/>
        <v>0.6374239897486896</v>
      </c>
      <c r="F132" s="9" t="str">
        <f>IF($B$7&gt;0,COMPLEX($E132,0),1)</f>
        <v>0.63742398974869</v>
      </c>
      <c r="G132" s="9" t="str">
        <f>IF($B$7&gt;0,COMPLEX(0,$D132*$B$16),0)</f>
        <v>92.1389886838315i</v>
      </c>
      <c r="H132" s="9" t="str">
        <f>IF($B$7&gt;0,COMPLEX(0,$D132/$B$16),0)</f>
        <v>6.44342493632169E-003i</v>
      </c>
      <c r="I132" s="9" t="str">
        <f>IF($B$7&gt;0,COMPLEX($E132,0),1)</f>
        <v>0.63742398974869</v>
      </c>
      <c r="J132" s="9" t="str">
        <f>IF($B$7&gt;1,COMPLEX($E132,0),1)</f>
        <v>0.63742398974869</v>
      </c>
      <c r="K132" s="9" t="str">
        <f>IF($B$7&gt;1,COMPLEX(0,$D132*$B$17),0)</f>
        <v>110.181016553269i</v>
      </c>
      <c r="L132" s="9" t="str">
        <f>IF($B$7&gt;1,COMPLEX(0,$D132/$B$17),0)</f>
        <v>5.38832074585036E-003i</v>
      </c>
      <c r="M132" s="9" t="str">
        <f>IF($B$7&gt;1,COMPLEX($E132,0),1)</f>
        <v>0.63742398974869</v>
      </c>
      <c r="N132" s="9" t="str">
        <f>IF($B$7&gt;2,COMPLEX($E132,0),1)</f>
        <v>0.63742398974869</v>
      </c>
      <c r="O132" s="9" t="str">
        <f>IF($B$7&gt;2,COMPLEX(0,$D132*$B$18),0)</f>
        <v>131.755911174246i</v>
      </c>
      <c r="P132" s="9" t="str">
        <f>IF($B$7&gt;2,COMPLEX(0,$D132/$B$18),0)</f>
        <v>4.50598877880865E-003i</v>
      </c>
      <c r="Q132" s="9" t="str">
        <f>IF($B$7&gt;2,COMPLEX($E132,0),1)</f>
        <v>0.63742398974869</v>
      </c>
      <c r="R132" s="9" t="str">
        <f>IF($B$7&gt;3,COMPLEX($E132,0),1)</f>
        <v>0.63742398974869</v>
      </c>
      <c r="S132" s="9" t="str">
        <f>IF($B$7&gt;3,COMPLEX(0,$D132*$B$19),0)</f>
        <v>157.555454400468i</v>
      </c>
      <c r="T132" s="9" t="str">
        <f>IF($B$7&gt;3,COMPLEX(0,$D132/$B$19),0)</f>
        <v>3.76813776172955E-003i</v>
      </c>
      <c r="U132" s="9" t="str">
        <f>IF($B$7&gt;3,COMPLEX($E132,0),1)</f>
        <v>0.63742398974869</v>
      </c>
      <c r="V132" s="9" t="str">
        <f>IF($B$7&gt;4,COMPLEX($E132,0),1)</f>
        <v>0.63742398974869</v>
      </c>
      <c r="W132" s="9" t="str">
        <f>IF($B$7&gt;4,COMPLEX(0,$D132*$B$20),0)</f>
        <v>188.406888086477i</v>
      </c>
      <c r="X132" s="9" t="str">
        <f>IF($B$7&gt;4,COMPLEX(0,$D132/$B$20),0)</f>
        <v>3.15110908800937E-003i</v>
      </c>
      <c r="Y132" s="9" t="str">
        <f>IF($B$7&gt;4,COMPLEX($E132,0),1)</f>
        <v>0.63742398974869</v>
      </c>
      <c r="Z132" s="9" t="str">
        <f>IF($B$7&gt;5,COMPLEX($E132,0),1)</f>
        <v>0.63742398974869</v>
      </c>
      <c r="AA132" s="9" t="str">
        <f>IF($B$7&gt;5,COMPLEX(0,$D132*$B$21),0)</f>
        <v>225.299438940432i</v>
      </c>
      <c r="AB132" s="9" t="str">
        <f>IF($B$7&gt;5,COMPLEX(0,$D132/$B$21),0)</f>
        <v>2.63511822348492E-003i</v>
      </c>
      <c r="AC132" s="9" t="str">
        <f>IF($B$7&gt;5,COMPLEX($E132,0),1)</f>
        <v>0.63742398974869</v>
      </c>
      <c r="AD132" s="9" t="str">
        <f>IF($B$7&gt;6,COMPLEX($E132,0),1)</f>
        <v>0.63742398974869</v>
      </c>
      <c r="AE132" s="9" t="str">
        <f>IF($B$7&gt;6,COMPLEX(0,$D132*$B$22),0)</f>
        <v>269.416037292518i</v>
      </c>
      <c r="AF132" s="9" t="str">
        <f>IF($B$7&gt;6,COMPLEX(0,$D132/$B$22),0)</f>
        <v>2.20362033106538E-003i</v>
      </c>
      <c r="AG132" s="9" t="str">
        <f>IF($B$7&gt;6,COMPLEX($E132,0),1)</f>
        <v>0.63742398974869</v>
      </c>
      <c r="AH132" s="9" t="str">
        <f>IF($B$7&gt;7,COMPLEX($E132,0),1)</f>
        <v>0.63742398974869</v>
      </c>
      <c r="AI132" s="9" t="str">
        <f>IF($B$7&gt;7,COMPLEX(0,$D132*$B$23),0)</f>
        <v>322.171246816085i</v>
      </c>
      <c r="AJ132" s="9" t="str">
        <f>IF($B$7&gt;7,COMPLEX(0,$D132/$B$23),0)</f>
        <v>1.84277977367663E-003i</v>
      </c>
      <c r="AK132" s="9" t="str">
        <f>IF($B$7&gt;7,COMPLEX($E132,0),1)</f>
        <v>0.63742398974869</v>
      </c>
      <c r="AL132" s="4" t="str">
        <f>IMSUM(IMPRODUCT(F132,J132),IMPRODUCT(G132,L132))</f>
        <v>-9.0165081519623E-002</v>
      </c>
      <c r="AM132" s="5" t="str">
        <f>IMSUM(IMPRODUCT(F132,K132),IMPRODUCT(G132,M132))</f>
        <v>128.963624944209i</v>
      </c>
      <c r="AN132" s="5" t="str">
        <f>IMSUM(IMPRODUCT(H132,J132),IMPRODUCT(I132,L132))</f>
        <v>7.54183853842194E-003i</v>
      </c>
      <c r="AO132" s="5" t="str">
        <f>IMSUM(IMPRODUCT(H132,K132),IMPRODUCT(I132,M132))</f>
        <v>-0.303633766861468</v>
      </c>
      <c r="AP132" s="4" t="str">
        <f>IMSUM(IMPRODUCT(AL132,N132),IMPRODUCT(AM132,P132))</f>
        <v>-0.638582032871347</v>
      </c>
      <c r="AQ132" s="5" t="str">
        <f>IMSUM(IMPRODUCT(AL132,O132),IMPRODUCT(AM132,Q132))</f>
        <v>70.3247258726733i</v>
      </c>
      <c r="AR132" s="5" t="str">
        <f>IMSUM(IMPRODUCT(AN132,N132),IMPRODUCT(AO132,P132))</f>
        <v>3.43917846485616E-003i</v>
      </c>
      <c r="AS132" s="5" t="str">
        <f>IMSUM(IMPRODUCT(AN132,O132),IMPRODUCT(AO132,Q132))</f>
        <v>-1.18722525565409</v>
      </c>
      <c r="AT132" s="4" t="str">
        <f>IMSUM(IMPRODUCT(AP132,R132),IMPRODUCT(AQ132,T132))</f>
        <v>-0.672040762318782</v>
      </c>
      <c r="AU132" s="5" t="str">
        <f>IMSUM(IMPRODUCT(AP132,S132),IMPRODUCT(AQ132,U132))</f>
        <v>-55.7854150172777i</v>
      </c>
      <c r="AV132" s="5" t="str">
        <f>IMSUM(IMPRODUCT(AR132,R132),IMPRODUCT(AS132,T132))</f>
        <v>-2.28141345898281E-003i</v>
      </c>
      <c r="AW132" s="5" t="str">
        <f>IMSUM(IMPRODUCT(AR132,S132),IMPRODUCT(AS132,U132))</f>
        <v>-1.29862718498415</v>
      </c>
      <c r="AX132" s="4" t="str">
        <f>IMSUM(IMPRODUCT(AT132,V132),IMPRODUCT(AU132,X132))</f>
        <v>-0.252588975751671</v>
      </c>
      <c r="AY132" s="5" t="str">
        <f>IMSUM(IMPRODUCT(AT132,W132),IMPRODUCT(AU132,Y132))</f>
        <v>-162.176070505845i</v>
      </c>
      <c r="AZ132" s="5" t="str">
        <f>IMSUM(IMPRODUCT(AV132,V132),IMPRODUCT(AW132,X132))</f>
        <v>-5.54634359383076E-003i</v>
      </c>
      <c r="BA132" s="5" t="str">
        <f>IMSUM(IMPRODUCT(AV132,W132),IMPRODUCT(AW132,Y132))</f>
        <v>-0.39794211120315</v>
      </c>
      <c r="BB132" s="4" t="str">
        <f>IMSUM(IMPRODUCT(AX132,Z132),IMPRODUCT(AY132,AB132))</f>
        <v>0.266346846112962</v>
      </c>
      <c r="BC132" s="5" t="str">
        <f>IMSUM(IMPRODUCT(AX132,AA132),IMPRODUCT(AY132,AC132))</f>
        <v>-160.283072422991i</v>
      </c>
      <c r="BD132" s="5" t="str">
        <f>IMSUM(IMPRODUCT(AZ132,Z132),IMPRODUCT(BA132,AB132))</f>
        <v>-4.58399697122017E-003i</v>
      </c>
      <c r="BE132" s="5" t="str">
        <f>IMSUM(IMPRODUCT(AZ132,AA132),IMPRODUCT(BA132,AC132))</f>
        <v>0.995930251648801</v>
      </c>
      <c r="BF132" s="4" t="str">
        <f>IMSUM(IMPRODUCT(BB132,AD132),IMPRODUCT(BC132,AF132))</f>
        <v>0.522978906423233</v>
      </c>
      <c r="BG132" s="5" t="str">
        <f>IMSUM(IMPRODUCT(BB132,AE132),IMPRODUCT(BC132,AG132))</f>
        <v>-30.4101636879267i</v>
      </c>
      <c r="BH132" s="5" t="str">
        <f>IMSUM(IMPRODUCT(BD132,AD132),IMPRODUCT(BE132,AF132))</f>
        <v>-7.2729748753471E-004i</v>
      </c>
      <c r="BI132" s="5" t="str">
        <f>IMSUM(IMPRODUCT(BD132,AE132),IMPRODUCT(BE132,AG132))</f>
        <v>1.86983213346444</v>
      </c>
      <c r="BJ132" s="4" t="str">
        <f>IMSUM(IMPRODUCT(BF132,AH132),IMPRODUCT(BG132,AJ132))</f>
        <v>0.389398535645011</v>
      </c>
      <c r="BK132" s="5" t="str">
        <f>IMSUM(IMPRODUCT(BF132,AI132),IMPRODUCT(BG132,AK132))</f>
        <v>149.104598474017i</v>
      </c>
      <c r="BL132" s="5" t="str">
        <f>IMSUM(IMPRODUCT(BH132,AH132),IMPRODUCT(BI132,AJ132))</f>
        <v>2.98209196948032E-003i</v>
      </c>
      <c r="BM132" s="5" t="str">
        <f>IMSUM(IMPRODUCT(BH132,AI132),IMPRODUCT(BI132,AK132))</f>
        <v>1.42619019703847</v>
      </c>
      <c r="BN132" s="4">
        <f t="shared" si="4"/>
        <v>500</v>
      </c>
      <c r="BO132" s="4">
        <v>1</v>
      </c>
      <c r="BP132" s="4" t="str">
        <f>IMSUM(IMPRODUCT($BJ132,$BN132),IMPRODUCT($BK132,$BO132))</f>
        <v>194.699267822505+149.104598474017i</v>
      </c>
      <c r="BQ132" s="4" t="str">
        <f>IMSUM(IMPRODUCT($BL132,$BN132),IMPRODUCT($BM132,$BO132))</f>
        <v>1.42619019703847+1.49104598474016i</v>
      </c>
      <c r="BR132" s="4" t="str">
        <f>IMDIV($BP132,$BQ132)</f>
        <v>117.447078043207-18.240481329763i</v>
      </c>
      <c r="BS132" s="4" t="str">
        <f>IMDIV(IMSUB($BQ$100,$BR132),IMSUM($BQ$100,$BR132))</f>
        <v>-8.66628003417322E-002+7.66150103651168E-002i</v>
      </c>
      <c r="BT132" s="4">
        <f>IMABS($BS132)</f>
        <v>0.11567325004649041</v>
      </c>
      <c r="BU132" s="4">
        <f t="shared" si="5"/>
        <v>1.2616074885274509</v>
      </c>
      <c r="BV132" s="4">
        <f t="shared" si="6"/>
        <v>-0.05850217498716909</v>
      </c>
    </row>
    <row r="133" spans="1:74" ht="12.75">
      <c r="A133" s="5">
        <v>30</v>
      </c>
      <c r="B133" s="5">
        <f t="shared" si="1"/>
        <v>5.800000000000001</v>
      </c>
      <c r="C133" s="4">
        <f t="shared" si="0"/>
        <v>0.9110618695410401</v>
      </c>
      <c r="D133" s="4">
        <f t="shared" si="2"/>
        <v>0.7901550123756903</v>
      </c>
      <c r="E133" s="5">
        <f t="shared" si="3"/>
        <v>0.6129070536529765</v>
      </c>
      <c r="F133" s="9" t="str">
        <f>IF($B$7&gt;0,COMPLEX($E133,0),1)</f>
        <v>0.612907053652976</v>
      </c>
      <c r="G133" s="9" t="str">
        <f>IF($B$7&gt;0,COMPLEX(0,$D133*$B$16),0)</f>
        <v>94.4877773696379i</v>
      </c>
      <c r="H133" s="9" t="str">
        <f>IF($B$7&gt;0,COMPLEX(0,$D133/$B$16),0)</f>
        <v>6.60767943709776E-003i</v>
      </c>
      <c r="I133" s="9" t="str">
        <f>IF($B$7&gt;0,COMPLEX($E133,0),1)</f>
        <v>0.612907053652976</v>
      </c>
      <c r="J133" s="9" t="str">
        <f>IF($B$7&gt;1,COMPLEX($E133,0),1)</f>
        <v>0.612907053652976</v>
      </c>
      <c r="K133" s="9" t="str">
        <f>IF($B$7&gt;1,COMPLEX(0,$D133*$B$17),0)</f>
        <v>112.989729007874i</v>
      </c>
      <c r="L133" s="9" t="str">
        <f>IF($B$7&gt;1,COMPLEX(0,$D133/$B$17),0)</f>
        <v>5.52567874146259E-003i</v>
      </c>
      <c r="M133" s="9" t="str">
        <f>IF($B$7&gt;1,COMPLEX($E133,0),1)</f>
        <v>0.612907053652976</v>
      </c>
      <c r="N133" s="9" t="str">
        <f>IF($B$7&gt;2,COMPLEX($E133,0),1)</f>
        <v>0.612907053652976</v>
      </c>
      <c r="O133" s="9" t="str">
        <f>IF($B$7&gt;2,COMPLEX(0,$D133*$B$18),0)</f>
        <v>135.114606530846i</v>
      </c>
      <c r="P133" s="9" t="str">
        <f>IF($B$7&gt;2,COMPLEX(0,$D133/$B$18),0)</f>
        <v>4.62085454424865E-003i</v>
      </c>
      <c r="Q133" s="9" t="str">
        <f>IF($B$7&gt;2,COMPLEX($E133,0),1)</f>
        <v>0.612907053652976</v>
      </c>
      <c r="R133" s="9" t="str">
        <f>IF($B$7&gt;3,COMPLEX($E133,0),1)</f>
        <v>0.612907053652976</v>
      </c>
      <c r="S133" s="9" t="str">
        <f>IF($B$7&gt;3,COMPLEX(0,$D133*$B$19),0)</f>
        <v>161.571826557024i</v>
      </c>
      <c r="T133" s="9" t="str">
        <f>IF($B$7&gt;3,COMPLEX(0,$D133/$B$19),0)</f>
        <v>3.86419437649965E-003i</v>
      </c>
      <c r="U133" s="9" t="str">
        <f>IF($B$7&gt;3,COMPLEX($E133,0),1)</f>
        <v>0.612907053652976</v>
      </c>
      <c r="V133" s="9" t="str">
        <f>IF($B$7&gt;4,COMPLEX($E133,0),1)</f>
        <v>0.612907053652976</v>
      </c>
      <c r="W133" s="9" t="str">
        <f>IF($B$7&gt;4,COMPLEX(0,$D133*$B$20),0)</f>
        <v>193.209718824983i</v>
      </c>
      <c r="X133" s="9" t="str">
        <f>IF($B$7&gt;4,COMPLEX(0,$D133/$B$20),0)</f>
        <v>3.23143653114047E-003i</v>
      </c>
      <c r="Y133" s="9" t="str">
        <f>IF($B$7&gt;4,COMPLEX($E133,0),1)</f>
        <v>0.612907053652976</v>
      </c>
      <c r="Z133" s="9" t="str">
        <f>IF($B$7&gt;5,COMPLEX($E133,0),1)</f>
        <v>0.612907053652976</v>
      </c>
      <c r="AA133" s="9" t="str">
        <f>IF($B$7&gt;5,COMPLEX(0,$D133*$B$21),0)</f>
        <v>231.042727212432i</v>
      </c>
      <c r="AB133" s="9" t="str">
        <f>IF($B$7&gt;5,COMPLEX(0,$D133/$B$21),0)</f>
        <v>2.70229213061692E-003i</v>
      </c>
      <c r="AC133" s="9" t="str">
        <f>IF($B$7&gt;5,COMPLEX($E133,0),1)</f>
        <v>0.612907053652976</v>
      </c>
      <c r="AD133" s="9" t="str">
        <f>IF($B$7&gt;6,COMPLEX($E133,0),1)</f>
        <v>0.612907053652976</v>
      </c>
      <c r="AE133" s="9" t="str">
        <f>IF($B$7&gt;6,COMPLEX(0,$D133*$B$22),0)</f>
        <v>276.283937073129i</v>
      </c>
      <c r="AF133" s="9" t="str">
        <f>IF($B$7&gt;6,COMPLEX(0,$D133/$B$22),0)</f>
        <v>2.25979458015748E-003i</v>
      </c>
      <c r="AG133" s="9" t="str">
        <f>IF($B$7&gt;6,COMPLEX($E133,0),1)</f>
        <v>0.612907053652976</v>
      </c>
      <c r="AH133" s="9" t="str">
        <f>IF($B$7&gt;7,COMPLEX($E133,0),1)</f>
        <v>0.612907053652976</v>
      </c>
      <c r="AI133" s="9" t="str">
        <f>IF($B$7&gt;7,COMPLEX(0,$D133*$B$23),0)</f>
        <v>330.383971854888i</v>
      </c>
      <c r="AJ133" s="9" t="str">
        <f>IF($B$7&gt;7,COMPLEX(0,$D133/$B$23),0)</f>
        <v>1.88975554739276E-003i</v>
      </c>
      <c r="AK133" s="9" t="str">
        <f>IF($B$7&gt;7,COMPLEX($E133,0),1)</f>
        <v>0.612907053652976</v>
      </c>
      <c r="AL133" s="4" t="str">
        <f>IMSUM(IMPRODUCT(F133,J133),IMPRODUCT(G133,L133))</f>
        <v>-0.146454046321886</v>
      </c>
      <c r="AM133" s="5" t="str">
        <f>IMSUM(IMPRODUCT(F133,K133),IMPRODUCT(G133,M133))</f>
        <v>127.164427133107i</v>
      </c>
      <c r="AN133" s="5" t="str">
        <f>IMSUM(IMPRODUCT(H133,J133),IMPRODUCT(I133,L133))</f>
        <v>7.43662081213766E-003i</v>
      </c>
      <c r="AO133" s="5" t="str">
        <f>IMSUM(IMPRODUCT(H133,K133),IMPRODUCT(I133,M133))</f>
        <v>-0.370944852551005</v>
      </c>
      <c r="AP133" s="4" t="str">
        <f>IMSUM(IMPRODUCT(AL133,N133),IMPRODUCT(AM133,P133))</f>
        <v>-0.677371039011498</v>
      </c>
      <c r="AQ133" s="5" t="str">
        <f>IMSUM(IMPRODUCT(AL133,O133),IMPRODUCT(AM133,Q133))</f>
        <v>58.1518935199893i</v>
      </c>
      <c r="AR133" s="5" t="str">
        <f>IMSUM(IMPRODUCT(AN133,N133),IMPRODUCT(AO133,P133))</f>
        <v>2.84387514352574E-003i</v>
      </c>
      <c r="AS133" s="5" t="str">
        <f>IMSUM(IMPRODUCT(AN133,O133),IMPRODUCT(AO133,Q133))</f>
        <v>-1.23215081159585</v>
      </c>
      <c r="AT133" s="4" t="str">
        <f>IMSUM(IMPRODUCT(AP133,R133),IMPRODUCT(AQ133,T133))</f>
        <v>-0.639875707673141</v>
      </c>
      <c r="AU133" s="5" t="str">
        <f>IMSUM(IMPRODUCT(AP133,S133),IMPRODUCT(AQ133,U133))</f>
        <v>-73.8023703082388i</v>
      </c>
      <c r="AV133" s="5" t="str">
        <f>IMSUM(IMPRODUCT(AR133,R133),IMPRODUCT(AS133,T133))</f>
        <v>-3.01823910199286E-003i</v>
      </c>
      <c r="AW133" s="5" t="str">
        <f>IMSUM(IMPRODUCT(AR133,S133),IMPRODUCT(AS133,U133))</f>
        <v>-1.21468402503091</v>
      </c>
      <c r="AX133" s="4" t="str">
        <f>IMSUM(IMPRODUCT(AT133,V133),IMPRODUCT(AU133,X133))</f>
        <v>-0.153696659195258</v>
      </c>
      <c r="AY133" s="5" t="str">
        <f>IMSUM(IMPRODUCT(AT133,W133),IMPRODUCT(AU133,Y133))</f>
        <v>-168.864198900694i</v>
      </c>
      <c r="AZ133" s="5" t="str">
        <f>IMSUM(IMPRODUCT(AV133,V133),IMPRODUCT(AW133,X133))</f>
        <v>-5.77507436750028E-003i</v>
      </c>
      <c r="BA133" s="5" t="str">
        <f>IMSUM(IMPRODUCT(AV133,W133),IMPRODUCT(AW133,Y133))</f>
        <v>-0.161335278658423</v>
      </c>
      <c r="BB133" s="4" t="str">
        <f>IMSUM(IMPRODUCT(AX133,Z133),IMPRODUCT(AY133,AB133))</f>
        <v>0.362118629288605</v>
      </c>
      <c r="BC133" s="5" t="str">
        <f>IMSUM(IMPRODUCT(AX133,AA133),IMPRODUCT(AY133,AC133))</f>
        <v>-139.008553919606i</v>
      </c>
      <c r="BD133" s="5" t="str">
        <f>IMSUM(IMPRODUCT(AZ133,Z133),IMPRODUCT(BA133,AB133))</f>
        <v>-3.97555886912096E-003i</v>
      </c>
      <c r="BE133" s="5" t="str">
        <f>IMSUM(IMPRODUCT(AZ133,AA133),IMPRODUCT(BA133,AC133))</f>
        <v>1.23540540142906</v>
      </c>
      <c r="BF133" s="4" t="str">
        <f>IMSUM(IMPRODUCT(BB133,AD133),IMPRODUCT(BC133,AF133))</f>
        <v>0.536075838893187</v>
      </c>
      <c r="BG133" s="5" t="str">
        <f>IMSUM(IMPRODUCT(BB133,AE133),IMPRODUCT(BC133,AG133))</f>
        <v>14.8482373719544i</v>
      </c>
      <c r="BH133" s="5" t="str">
        <f>IMSUM(IMPRODUCT(BD133,AD133),IMPRODUCT(BE133,AF133))</f>
        <v>3.5511435734979E-004i</v>
      </c>
      <c r="BI133" s="5" t="str">
        <f>IMSUM(IMPRODUCT(BD133,AE133),IMPRODUCT(BE133,AG133))</f>
        <v>1.8555717410836</v>
      </c>
      <c r="BJ133" s="4" t="str">
        <f>IMSUM(IMPRODUCT(BF133,AH133),IMPRODUCT(BG133,AJ133))</f>
        <v>0.300505124007916</v>
      </c>
      <c r="BK133" s="5" t="str">
        <f>IMSUM(IMPRODUCT(BF133,AI133),IMPRODUCT(BG133,AK133))</f>
        <v>186.211454288557i</v>
      </c>
      <c r="BL133" s="5" t="str">
        <f>IMSUM(IMPRODUCT(BH133,AH133),IMPRODUCT(BI133,AJ133))</f>
        <v>3.72422908577111E-003i</v>
      </c>
      <c r="BM133" s="5" t="str">
        <f>IMSUM(IMPRODUCT(BH133,AI133),IMPRODUCT(BI133,AK133))</f>
        <v>1.01996891682535</v>
      </c>
      <c r="BN133" s="4">
        <f t="shared" si="4"/>
        <v>500</v>
      </c>
      <c r="BO133" s="4">
        <v>1</v>
      </c>
      <c r="BP133" s="4" t="str">
        <f>IMSUM(IMPRODUCT($BJ133,$BN133),IMPRODUCT($BK133,$BO133))</f>
        <v>150.252562003958+186.211454288557i</v>
      </c>
      <c r="BQ133" s="4" t="str">
        <f>IMSUM(IMPRODUCT($BL133,$BN133),IMPRODUCT($BM133,$BO133))</f>
        <v>1.01996891682535+1.86211454288556i</v>
      </c>
      <c r="BR133" s="4" t="str">
        <f>IMDIV($BP133,$BQ133)</f>
        <v>110.918675537425-19.9337687373558i</v>
      </c>
      <c r="BS133" s="4" t="str">
        <f>IMDIV(IMSUB($BQ$100,$BR133),IMSUM($BQ$100,$BR133))</f>
        <v>-6.01618648633517E-002+8.88234102012341E-002i</v>
      </c>
      <c r="BT133" s="4">
        <f>IMABS($BS133)</f>
        <v>0.10728023202628195</v>
      </c>
      <c r="BU133" s="4">
        <f t="shared" si="5"/>
        <v>1.2403446991429015</v>
      </c>
      <c r="BV133" s="4">
        <f t="shared" si="6"/>
        <v>-0.05027301660575981</v>
      </c>
    </row>
    <row r="134" spans="1:74" ht="12.75">
      <c r="A134" s="5">
        <v>31</v>
      </c>
      <c r="B134" s="5">
        <f t="shared" si="1"/>
        <v>6</v>
      </c>
      <c r="C134" s="4">
        <f t="shared" si="0"/>
        <v>0.9424777960769379</v>
      </c>
      <c r="D134" s="4">
        <f t="shared" si="2"/>
        <v>0.8090169943749473</v>
      </c>
      <c r="E134" s="5">
        <f t="shared" si="3"/>
        <v>0.5877852522924732</v>
      </c>
      <c r="F134" s="9" t="str">
        <f>IF($B$7&gt;0,COMPLEX($E134,0),1)</f>
        <v>0.587785252292473</v>
      </c>
      <c r="G134" s="9" t="str">
        <f>IF($B$7&gt;0,COMPLEX(0,$D134*$B$16),0)</f>
        <v>96.743318026828i</v>
      </c>
      <c r="H134" s="9" t="str">
        <f>IF($B$7&gt;0,COMPLEX(0,$D134/$B$16),0)</f>
        <v>6.76541295602422E-003i</v>
      </c>
      <c r="I134" s="9" t="str">
        <f>IF($B$7&gt;0,COMPLEX($E134,0),1)</f>
        <v>0.587785252292473</v>
      </c>
      <c r="J134" s="9" t="str">
        <f>IF($B$7&gt;1,COMPLEX($E134,0),1)</f>
        <v>0.587785252292473</v>
      </c>
      <c r="K134" s="9" t="str">
        <f>IF($B$7&gt;1,COMPLEX(0,$D134*$B$17),0)</f>
        <v>115.686934241363i</v>
      </c>
      <c r="L134" s="9" t="str">
        <f>IF($B$7&gt;1,COMPLEX(0,$D134/$B$17),0)</f>
        <v>5.65758355928027E-003i</v>
      </c>
      <c r="M134" s="9" t="str">
        <f>IF($B$7&gt;1,COMPLEX($E134,0),1)</f>
        <v>0.587785252292473</v>
      </c>
      <c r="N134" s="9" t="str">
        <f>IF($B$7&gt;2,COMPLEX($E134,0),1)</f>
        <v>0.587785252292473</v>
      </c>
      <c r="O134" s="9" t="str">
        <f>IF($B$7&gt;2,COMPLEX(0,$D134*$B$18),0)</f>
        <v>138.339960083384i</v>
      </c>
      <c r="P134" s="9" t="str">
        <f>IF($B$7&gt;2,COMPLEX(0,$D134/$B$18),0)</f>
        <v>4.73116008413601E-003i</v>
      </c>
      <c r="Q134" s="9" t="str">
        <f>IF($B$7&gt;2,COMPLEX($E134,0),1)</f>
        <v>0.587785252292473</v>
      </c>
      <c r="R134" s="9" t="str">
        <f>IF($B$7&gt;3,COMPLEX($E134,0),1)</f>
        <v>0.587785252292473</v>
      </c>
      <c r="S134" s="9" t="str">
        <f>IF($B$7&gt;3,COMPLEX(0,$D134*$B$19),0)</f>
        <v>165.42874682757i</v>
      </c>
      <c r="T134" s="9" t="str">
        <f>IF($B$7&gt;3,COMPLEX(0,$D134/$B$19),0)</f>
        <v>3.95643749794999E-003i</v>
      </c>
      <c r="U134" s="9" t="str">
        <f>IF($B$7&gt;3,COMPLEX($E134,0),1)</f>
        <v>0.587785252292473</v>
      </c>
      <c r="V134" s="9" t="str">
        <f>IF($B$7&gt;4,COMPLEX($E134,0),1)</f>
        <v>0.587785252292473</v>
      </c>
      <c r="W134" s="9" t="str">
        <f>IF($B$7&gt;4,COMPLEX(0,$D134*$B$20),0)</f>
        <v>197.8218748975i</v>
      </c>
      <c r="X134" s="9" t="str">
        <f>IF($B$7&gt;4,COMPLEX(0,$D134/$B$20),0)</f>
        <v>3.3085749365514E-003i</v>
      </c>
      <c r="Y134" s="9" t="str">
        <f>IF($B$7&gt;4,COMPLEX($E134,0),1)</f>
        <v>0.587785252292473</v>
      </c>
      <c r="Z134" s="9" t="str">
        <f>IF($B$7&gt;5,COMPLEX($E134,0),1)</f>
        <v>0.587785252292473</v>
      </c>
      <c r="AA134" s="9" t="str">
        <f>IF($B$7&gt;5,COMPLEX(0,$D134*$B$21),0)</f>
        <v>236.5580042068i</v>
      </c>
      <c r="AB134" s="9" t="str">
        <f>IF($B$7&gt;5,COMPLEX(0,$D134/$B$21),0)</f>
        <v>2.76679920166767E-003i</v>
      </c>
      <c r="AC134" s="9" t="str">
        <f>IF($B$7&gt;5,COMPLEX($E134,0),1)</f>
        <v>0.587785252292473</v>
      </c>
      <c r="AD134" s="9" t="str">
        <f>IF($B$7&gt;6,COMPLEX($E134,0),1)</f>
        <v>0.587785252292473</v>
      </c>
      <c r="AE134" s="9" t="str">
        <f>IF($B$7&gt;6,COMPLEX(0,$D134*$B$22),0)</f>
        <v>282.879177964013i</v>
      </c>
      <c r="AF134" s="9" t="str">
        <f>IF($B$7&gt;6,COMPLEX(0,$D134/$B$22),0)</f>
        <v>2.31373868482726E-003i</v>
      </c>
      <c r="AG134" s="9" t="str">
        <f>IF($B$7&gt;6,COMPLEX($E134,0),1)</f>
        <v>0.587785252292473</v>
      </c>
      <c r="AH134" s="9" t="str">
        <f>IF($B$7&gt;7,COMPLEX($E134,0),1)</f>
        <v>0.587785252292473</v>
      </c>
      <c r="AI134" s="9" t="str">
        <f>IF($B$7&gt;7,COMPLEX(0,$D134*$B$23),0)</f>
        <v>338.270647801211i</v>
      </c>
      <c r="AJ134" s="9" t="str">
        <f>IF($B$7&gt;7,COMPLEX(0,$D134/$B$23),0)</f>
        <v>1.93486636053656E-003i</v>
      </c>
      <c r="AK134" s="9" t="str">
        <f>IF($B$7&gt;7,COMPLEX($E134,0),1)</f>
        <v>0.587785252292473</v>
      </c>
      <c r="AL134" s="4" t="str">
        <f>IMSUM(IMPRODUCT(F134,J134),IMPRODUCT(G134,L134))</f>
        <v>-0.201841902726279</v>
      </c>
      <c r="AM134" s="5" t="str">
        <f>IMSUM(IMPRODUCT(F134,K134),IMPRODUCT(G134,M134))</f>
        <v>124.863369424012i</v>
      </c>
      <c r="AN134" s="5" t="str">
        <f>IMSUM(IMPRODUCT(H134,J134),IMPRODUCT(I134,L134))</f>
        <v>7.30205414097676E-003i</v>
      </c>
      <c r="AO134" s="5" t="str">
        <f>IMSUM(IMPRODUCT(H134,K134),IMPRODUCT(I134,M134))</f>
        <v>-0.437178380946713</v>
      </c>
      <c r="AP134" s="4" t="str">
        <f>IMSUM(IMPRODUCT(AL134,N134),IMPRODUCT(AM134,P134))</f>
        <v>-0.709388283106773</v>
      </c>
      <c r="AQ134" s="5" t="str">
        <f>IMSUM(IMPRODUCT(AL134,O134),IMPRODUCT(AM134,Q134))</f>
        <v>45.4700463326735i</v>
      </c>
      <c r="AR134" s="5" t="str">
        <f>IMSUM(IMPRODUCT(AN134,N134),IMPRODUCT(AO134,P134))</f>
        <v>2.22367882992502E-003i</v>
      </c>
      <c r="AS134" s="5" t="str">
        <f>IMSUM(IMPRODUCT(AN134,O134),IMPRODUCT(AO134,Q134))</f>
        <v>-1.26713288333101</v>
      </c>
      <c r="AT134" s="4" t="str">
        <f>IMSUM(IMPRODUCT(AP134,R134),IMPRODUCT(AQ134,T134))</f>
        <v>-0.596867367303352</v>
      </c>
      <c r="AU134" s="5" t="str">
        <f>IMSUM(IMPRODUCT(AP134,S134),IMPRODUCT(AQ134,U134))</f>
        <v>-90.6265920331141i</v>
      </c>
      <c r="AV134" s="5" t="str">
        <f>IMSUM(IMPRODUCT(AR134,R134),IMPRODUCT(AS134,T134))</f>
        <v>-3.70628643243139E-003i</v>
      </c>
      <c r="AW134" s="5" t="str">
        <f>IMSUM(IMPRODUCT(AR134,S134),IMPRODUCT(AS134,U134))</f>
        <v>-1.1126624236983</v>
      </c>
      <c r="AX134" s="4" t="str">
        <f>IMSUM(IMPRODUCT(AT134,V134),IMPRODUCT(AU134,X134))</f>
        <v>-5.0984965089715E-002</v>
      </c>
      <c r="AY134" s="5" t="str">
        <f>IMSUM(IMPRODUCT(AT134,W134),IMPRODUCT(AU134,Y134))</f>
        <v>-171.342395927675i</v>
      </c>
      <c r="AZ134" s="5" t="str">
        <f>IMSUM(IMPRODUCT(AV134,V134),IMPRODUCT(AW134,X134))</f>
        <v>-5.85982751364558E-003i</v>
      </c>
      <c r="BA134" s="5" t="str">
        <f>IMSUM(IMPRODUCT(AV134,W134),IMPRODUCT(AW134,Y134))</f>
        <v>7.9177967540884E-002</v>
      </c>
      <c r="BB134" s="4" t="str">
        <f>IMSUM(IMPRODUCT(AX134,Z134),IMPRODUCT(AY134,AB134))</f>
        <v>0.444101793696136</v>
      </c>
      <c r="BC134" s="5" t="str">
        <f>IMSUM(IMPRODUCT(AX134,AA134),IMPRODUCT(AY134,AC134))</f>
        <v>-112.773435004921i</v>
      </c>
      <c r="BD134" s="5" t="str">
        <f>IMSUM(IMPRODUCT(AZ134,Z134),IMPRODUCT(BA134,AB134))</f>
        <v>-3.22525065611675E-003i</v>
      </c>
      <c r="BE134" s="5" t="str">
        <f>IMSUM(IMPRODUCT(AZ134,AA134),IMPRODUCT(BA134,AC134))</f>
        <v>1.43272874325111</v>
      </c>
      <c r="BF134" s="4" t="str">
        <f>IMSUM(IMPRODUCT(BB134,AD134),IMPRODUCT(BC134,AF134))</f>
        <v>0.521964744042961</v>
      </c>
      <c r="BG134" s="5" t="str">
        <f>IMSUM(IMPRODUCT(BB134,AE134),IMPRODUCT(BC134,AG134))</f>
        <v>59.3405883868507i</v>
      </c>
      <c r="BH134" s="5" t="str">
        <f>IMSUM(IMPRODUCT(BD134,AD134),IMPRODUCT(BE134,AF134))</f>
        <v>1.41920514751199E-003i</v>
      </c>
      <c r="BI134" s="5" t="str">
        <f>IMSUM(IMPRODUCT(BD134,AE134),IMPRODUCT(BE134,AG134))</f>
        <v>1.75449308014873</v>
      </c>
      <c r="BJ134" s="4" t="str">
        <f>IMSUM(IMPRODUCT(BF134,AH134),IMPRODUCT(BG134,AJ134))</f>
        <v>0.191987070480904</v>
      </c>
      <c r="BK134" s="5" t="str">
        <f>IMSUM(IMPRODUCT(BF134,AI134),IMPRODUCT(BG134,AK134))</f>
        <v>211.444874812955i</v>
      </c>
      <c r="BL134" s="5" t="str">
        <f>IMSUM(IMPRODUCT(BH134,AH134),IMPRODUCT(BI134,AJ134))</f>
        <v>4.22889749625906E-003i</v>
      </c>
      <c r="BM134" s="5" t="str">
        <f>IMSUM(IMPRODUCT(BH134,AI134),IMPRODUCT(BI134,AK134))</f>
        <v>0.551189713148926</v>
      </c>
      <c r="BN134" s="4">
        <f t="shared" si="4"/>
        <v>500</v>
      </c>
      <c r="BO134" s="4">
        <v>1</v>
      </c>
      <c r="BP134" s="4" t="str">
        <f>IMSUM(IMPRODUCT($BJ134,$BN134),IMPRODUCT($BK134,$BO134))</f>
        <v>95.993535240452+211.444874812955i</v>
      </c>
      <c r="BQ134" s="4" t="str">
        <f>IMSUM(IMPRODUCT($BL134,$BN134),IMPRODUCT($BM134,$BO134))</f>
        <v>0.551189713148926+2.11444874812953i</v>
      </c>
      <c r="BR134" s="4" t="str">
        <f>IMDIV($BP134,$BQ134)</f>
        <v>104.718541927049-18.1010545600434i</v>
      </c>
      <c r="BS134" s="4" t="str">
        <f>IMDIV(IMSUB($BQ$100,$BR134),IMSUM($BQ$100,$BR134))</f>
        <v>-3.06274381506962E-002+8.57111694225333E-002i</v>
      </c>
      <c r="BT134" s="4">
        <f>IMABS($BS134)</f>
        <v>0.09101892402930792</v>
      </c>
      <c r="BU134" s="4">
        <f t="shared" si="5"/>
        <v>1.200265828267348</v>
      </c>
      <c r="BV134" s="4">
        <f t="shared" si="6"/>
        <v>-0.0361287462464118</v>
      </c>
    </row>
    <row r="135" spans="1:74" ht="12.75">
      <c r="A135" s="5">
        <v>32</v>
      </c>
      <c r="B135" s="5">
        <f t="shared" si="1"/>
        <v>6.2</v>
      </c>
      <c r="C135" s="4">
        <f t="shared" si="0"/>
        <v>0.9738937226128359</v>
      </c>
      <c r="D135" s="4">
        <f t="shared" si="2"/>
        <v>0.8270805742745618</v>
      </c>
      <c r="E135" s="5">
        <f t="shared" si="3"/>
        <v>0.5620833778521307</v>
      </c>
      <c r="F135" s="9" t="str">
        <f>IF($B$7&gt;0,COMPLEX($E135,0),1)</f>
        <v>0.562083377852131</v>
      </c>
      <c r="G135" s="9" t="str">
        <f>IF($B$7&gt;0,COMPLEX(0,$D135*$B$16),0)</f>
        <v>98.9033847090879i</v>
      </c>
      <c r="H135" s="9" t="str">
        <f>IF($B$7&gt;0,COMPLEX(0,$D135/$B$16),0)</f>
        <v>6.91646982916129E-003i</v>
      </c>
      <c r="I135" s="9" t="str">
        <f>IF($B$7&gt;0,COMPLEX($E135,0),1)</f>
        <v>0.562083377852131</v>
      </c>
      <c r="J135" s="9" t="str">
        <f>IF($B$7&gt;1,COMPLEX($E135,0),1)</f>
        <v>0.562083377852131</v>
      </c>
      <c r="K135" s="9" t="str">
        <f>IF($B$7&gt;1,COMPLEX(0,$D135*$B$17),0)</f>
        <v>118.269970437809i</v>
      </c>
      <c r="L135" s="9" t="str">
        <f>IF($B$7&gt;1,COMPLEX(0,$D135/$B$17),0)</f>
        <v>5.78390502517328E-003i</v>
      </c>
      <c r="M135" s="9" t="str">
        <f>IF($B$7&gt;1,COMPLEX($E135,0),1)</f>
        <v>0.562083377852131</v>
      </c>
      <c r="N135" s="9" t="str">
        <f>IF($B$7&gt;2,COMPLEX($E135,0),1)</f>
        <v>0.562083377852131</v>
      </c>
      <c r="O135" s="9" t="str">
        <f>IF($B$7&gt;2,COMPLEX(0,$D135*$B$18),0)</f>
        <v>141.428788797305i</v>
      </c>
      <c r="P135" s="9" t="str">
        <f>IF($B$7&gt;2,COMPLEX(0,$D135/$B$18),0)</f>
        <v>4.83679654022021E-003i</v>
      </c>
      <c r="Q135" s="9" t="str">
        <f>IF($B$7&gt;2,COMPLEX($E135,0),1)</f>
        <v>0.562083377852131</v>
      </c>
      <c r="R135" s="9" t="str">
        <f>IF($B$7&gt;3,COMPLEX($E135,0),1)</f>
        <v>0.562083377852131</v>
      </c>
      <c r="S135" s="9" t="str">
        <f>IF($B$7&gt;3,COMPLEX(0,$D135*$B$19),0)</f>
        <v>169.122408897452i</v>
      </c>
      <c r="T135" s="9" t="str">
        <f>IF($B$7&gt;3,COMPLEX(0,$D135/$B$19),0)</f>
        <v>4.04477609325635E-003i</v>
      </c>
      <c r="U135" s="9" t="str">
        <f>IF($B$7&gt;3,COMPLEX($E135,0),1)</f>
        <v>0.562083377852131</v>
      </c>
      <c r="V135" s="9" t="str">
        <f>IF($B$7&gt;4,COMPLEX($E135,0),1)</f>
        <v>0.562083377852131</v>
      </c>
      <c r="W135" s="9" t="str">
        <f>IF($B$7&gt;4,COMPLEX(0,$D135*$B$20),0)</f>
        <v>202.238804662817i</v>
      </c>
      <c r="X135" s="9" t="str">
        <f>IF($B$7&gt;4,COMPLEX(0,$D135/$B$20),0)</f>
        <v>3.38244817794904E-003i</v>
      </c>
      <c r="Y135" s="9" t="str">
        <f>IF($B$7&gt;4,COMPLEX($E135,0),1)</f>
        <v>0.562083377852131</v>
      </c>
      <c r="Z135" s="9" t="str">
        <f>IF($B$7&gt;5,COMPLEX($E135,0),1)</f>
        <v>0.562083377852131</v>
      </c>
      <c r="AA135" s="9" t="str">
        <f>IF($B$7&gt;5,COMPLEX(0,$D135*$B$21),0)</f>
        <v>241.83982701101i</v>
      </c>
      <c r="AB135" s="9" t="str">
        <f>IF($B$7&gt;5,COMPLEX(0,$D135/$B$21),0)</f>
        <v>2.8285757759461E-003i</v>
      </c>
      <c r="AC135" s="9" t="str">
        <f>IF($B$7&gt;5,COMPLEX($E135,0),1)</f>
        <v>0.562083377852131</v>
      </c>
      <c r="AD135" s="9" t="str">
        <f>IF($B$7&gt;6,COMPLEX($E135,0),1)</f>
        <v>0.562083377852131</v>
      </c>
      <c r="AE135" s="9" t="str">
        <f>IF($B$7&gt;6,COMPLEX(0,$D135*$B$22),0)</f>
        <v>289.195251258664i</v>
      </c>
      <c r="AF135" s="9" t="str">
        <f>IF($B$7&gt;6,COMPLEX(0,$D135/$B$22),0)</f>
        <v>2.36539940875618E-003i</v>
      </c>
      <c r="AG135" s="9" t="str">
        <f>IF($B$7&gt;6,COMPLEX($E135,0),1)</f>
        <v>0.562083377852131</v>
      </c>
      <c r="AH135" s="9" t="str">
        <f>IF($B$7&gt;7,COMPLEX($E135,0),1)</f>
        <v>0.562083377852131</v>
      </c>
      <c r="AI135" s="9" t="str">
        <f>IF($B$7&gt;7,COMPLEX(0,$D135*$B$23),0)</f>
        <v>345.823491458065i</v>
      </c>
      <c r="AJ135" s="9" t="str">
        <f>IF($B$7&gt;7,COMPLEX(0,$D135/$B$23),0)</f>
        <v>1.97806769418176E-003i</v>
      </c>
      <c r="AK135" s="9" t="str">
        <f>IF($B$7&gt;7,COMPLEX($E135,0),1)</f>
        <v>0.562083377852131</v>
      </c>
      <c r="AL135" s="4" t="str">
        <f>IMSUM(IMPRODUCT(F135,J135),IMPRODUCT(G135,L135))</f>
        <v>-0.256110060167879</v>
      </c>
      <c r="AM135" s="5" t="str">
        <f>IMSUM(IMPRODUCT(F135,K135),IMPRODUCT(G135,M135))</f>
        <v>122.069533040448i</v>
      </c>
      <c r="AN135" s="5" t="str">
        <f>IMSUM(IMPRODUCT(H135,J135),IMPRODUCT(I135,L135))</f>
        <v>7.13866959811264E-003i</v>
      </c>
      <c r="AO135" s="5" t="str">
        <f>IMSUM(IMPRODUCT(H135,K135),IMPRODUCT(I135,M135))</f>
        <v>-0.502072958571243</v>
      </c>
      <c r="AP135" s="4" t="str">
        <f>IMSUM(IMPRODUCT(AL135,N135),IMPRODUCT(AM135,P135))</f>
        <v>-0.734380702797409</v>
      </c>
      <c r="AQ135" s="5" t="str">
        <f>IMSUM(IMPRODUCT(AL135,O135),IMPRODUCT(AM135,Q135))</f>
        <v>32.3919198558593i</v>
      </c>
      <c r="AR135" s="5" t="str">
        <f>IMSUM(IMPRODUCT(AN135,N135),IMPRODUCT(AO135,P135))</f>
        <v>1.58410277212196E-003i</v>
      </c>
      <c r="AS135" s="5" t="str">
        <f>IMSUM(IMPRODUCT(AN135,O135),IMPRODUCT(AO135,Q135))</f>
        <v>-1.29182025936715</v>
      </c>
      <c r="AT135" s="4" t="str">
        <f>IMSUM(IMPRODUCT(AP135,R135),IMPRODUCT(AQ135,T135))</f>
        <v>-0.543801249105445</v>
      </c>
      <c r="AU135" s="5" t="str">
        <f>IMSUM(IMPRODUCT(AP135,S135),IMPRODUCT(AQ135,U135))</f>
        <v>-105.993273777205i</v>
      </c>
      <c r="AV135" s="5" t="str">
        <f>IMSUM(IMPRODUCT(AR135,R135),IMPRODUCT(AS135,T135))</f>
        <v>-4.33472586485323E-003i</v>
      </c>
      <c r="AW135" s="5" t="str">
        <f>IMSUM(IMPRODUCT(AR135,S135),IMPRODUCT(AS135,U135))</f>
        <v>-0.994017971725301</v>
      </c>
      <c r="AX135" s="4" t="str">
        <f>IMSUM(IMPRODUCT(AT135,V135),IMPRODUCT(AU135,X135))</f>
        <v>5.2855112785164E-002</v>
      </c>
      <c r="AY135" s="5" t="str">
        <f>IMSUM(IMPRODUCT(AT135,W135),IMPRODUCT(AU135,Y135))</f>
        <v>-169.554771947529i</v>
      </c>
      <c r="AZ135" s="5" t="str">
        <f>IMSUM(IMPRODUCT(AV135,V135),IMPRODUCT(AW135,X135))</f>
        <v>-5.79869163349054E-003i</v>
      </c>
      <c r="BA135" s="5" t="str">
        <f>IMSUM(IMPRODUCT(AV135,W135),IMPRODUCT(AW135,Y135))</f>
        <v>0.317928798255832</v>
      </c>
      <c r="BB135" s="4" t="str">
        <f>IMSUM(IMPRODUCT(AX135,Z135),IMPRODUCT(AY135,AB135))</f>
        <v>0.509307500957886</v>
      </c>
      <c r="BC135" s="5" t="str">
        <f>IMSUM(IMPRODUCT(AX135,AA135),IMPRODUCT(AY135,AC135))</f>
        <v>-82.5214476146033i</v>
      </c>
      <c r="BD135" s="5" t="str">
        <f>IMSUM(IMPRODUCT(AZ135,Z135),IMPRODUCT(BA135,AB135))</f>
        <v>-2.36006248325315E-003i</v>
      </c>
      <c r="BE135" s="5" t="str">
        <f>IMSUM(IMPRODUCT(AZ135,AA135),IMPRODUCT(BA135,AC135))</f>
        <v>1.58105707437365</v>
      </c>
      <c r="BF135" s="4" t="str">
        <f>IMSUM(IMPRODUCT(BB135,AD135),IMPRODUCT(BC135,AF135))</f>
        <v>0.481469463901123</v>
      </c>
      <c r="BG135" s="5" t="str">
        <f>IMSUM(IMPRODUCT(BB135,AE135),IMPRODUCT(BC135,AG135))</f>
        <v>100.905376686974i</v>
      </c>
      <c r="BH135" s="5" t="str">
        <f>IMSUM(IMPRODUCT(BD135,AD135),IMPRODUCT(BE135,AF135))</f>
        <v>2.41327957640419E-003i</v>
      </c>
      <c r="BI135" s="5" t="str">
        <f>IMSUM(IMPRODUCT(BD135,AE135),IMPRODUCT(BE135,AG135))</f>
        <v>1.57120476377149</v>
      </c>
      <c r="BJ135" s="4" t="str">
        <f>IMSUM(IMPRODUCT(BF135,AH135),IMPRODUCT(BG135,AJ135))</f>
        <v>7.1028316808453E-002</v>
      </c>
      <c r="BK135" s="5" t="str">
        <f>IMSUM(IMPRODUCT(BF135,AI135),IMPRODUCT(BG135,AK135))</f>
        <v>223.220686008385i</v>
      </c>
      <c r="BL135" s="5" t="str">
        <f>IMSUM(IMPRODUCT(BH135,AH135),IMPRODUCT(BI135,AJ135))</f>
        <v>4.4644137201677E-003i</v>
      </c>
      <c r="BM135" s="5" t="str">
        <f>IMSUM(IMPRODUCT(BH135,AI135),IMPRODUCT(BI135,AK135))</f>
        <v>4.8579311941502E-002</v>
      </c>
      <c r="BN135" s="4">
        <f t="shared" si="4"/>
        <v>500</v>
      </c>
      <c r="BO135" s="4">
        <v>1</v>
      </c>
      <c r="BP135" s="4" t="str">
        <f>IMSUM(IMPRODUCT($BJ135,$BN135),IMPRODUCT($BK135,$BO135))</f>
        <v>35.5141584042265+223.220686008385i</v>
      </c>
      <c r="BQ135" s="4" t="str">
        <f>IMSUM(IMPRODUCT($BL135,$BN135),IMPRODUCT($BM135,$BO135))</f>
        <v>4.8579311941502E-002+2.23220686008385i</v>
      </c>
      <c r="BR135" s="4" t="str">
        <f>IMDIV($BP135,$BQ135)</f>
        <v>100.298741491484-13.7270945188389i</v>
      </c>
      <c r="BS135" s="4" t="str">
        <f>IMDIV(IMSUB($BQ$100,$BR135),IMSUM($BQ$100,$BR135))</f>
        <v>-6.15933690286092E-003+6.81109857077159E-002i</v>
      </c>
      <c r="BT135" s="4">
        <f>IMABS($BS135)</f>
        <v>0.06838891580628854</v>
      </c>
      <c r="BU135" s="4">
        <f t="shared" si="5"/>
        <v>1.1468185962288708</v>
      </c>
      <c r="BV135" s="4">
        <f t="shared" si="6"/>
        <v>-0.020359792182768174</v>
      </c>
    </row>
    <row r="136" spans="1:74" ht="12.75">
      <c r="A136" s="5">
        <v>33</v>
      </c>
      <c r="B136" s="5">
        <f t="shared" si="1"/>
        <v>6.4</v>
      </c>
      <c r="C136" s="4">
        <f aca="true" t="shared" si="7" ref="C136:C167">$B136/$G$6*0.5*PI()</f>
        <v>1.0053096491487339</v>
      </c>
      <c r="D136" s="4">
        <f t="shared" si="2"/>
        <v>0.8443279255020151</v>
      </c>
      <c r="E136" s="5">
        <f t="shared" si="3"/>
        <v>0.5358267949789967</v>
      </c>
      <c r="F136" s="9" t="str">
        <f>IF($B$7&gt;0,COMPLEX($E136,0),1)</f>
        <v>0.535826794978997</v>
      </c>
      <c r="G136" s="9" t="str">
        <f>IF($B$7&gt;0,COMPLEX(0,$D136*$B$16),0)</f>
        <v>100.96584569139i</v>
      </c>
      <c r="H136" s="9" t="str">
        <f>IF($B$7&gt;0,COMPLEX(0,$D136/$B$16),0)</f>
        <v>7.0607009816125E-003i</v>
      </c>
      <c r="I136" s="9" t="str">
        <f>IF($B$7&gt;0,COMPLEX($E136,0),1)</f>
        <v>0.535826794978997</v>
      </c>
      <c r="J136" s="9" t="str">
        <f>IF($B$7&gt;1,COMPLEX($E136,0),1)</f>
        <v>0.535826794978997</v>
      </c>
      <c r="K136" s="9" t="str">
        <f>IF($B$7&gt;1,COMPLEX(0,$D136*$B$17),0)</f>
        <v>120.736288452339i</v>
      </c>
      <c r="L136" s="9" t="str">
        <f>IF($B$7&gt;1,COMPLEX(0,$D136/$B$17),0)</f>
        <v>5.90451847510577E-003i</v>
      </c>
      <c r="M136" s="9" t="str">
        <f>IF($B$7&gt;1,COMPLEX($E136,0),1)</f>
        <v>0.535826794978997</v>
      </c>
      <c r="N136" s="9" t="str">
        <f>IF($B$7&gt;2,COMPLEX($E136,0),1)</f>
        <v>0.535826794978997</v>
      </c>
      <c r="O136" s="9" t="str">
        <f>IF($B$7&gt;2,COMPLEX(0,$D136*$B$18),0)</f>
        <v>144.378044371588i</v>
      </c>
      <c r="P136" s="9" t="str">
        <f>IF($B$7&gt;2,COMPLEX(0,$D136/$B$18),0)</f>
        <v>4.93765966207273E-003i</v>
      </c>
      <c r="Q136" s="9" t="str">
        <f>IF($B$7&gt;2,COMPLEX($E136,0),1)</f>
        <v>0.535826794978997</v>
      </c>
      <c r="R136" s="9" t="str">
        <f>IF($B$7&gt;3,COMPLEX($E136,0),1)</f>
        <v>0.535826794978997</v>
      </c>
      <c r="S136" s="9" t="str">
        <f>IF($B$7&gt;3,COMPLEX(0,$D136*$B$19),0)</f>
        <v>172.649167568149i</v>
      </c>
      <c r="T136" s="9" t="str">
        <f>IF($B$7&gt;3,COMPLEX(0,$D136/$B$19),0)</f>
        <v>4.12912298289039E-003i</v>
      </c>
      <c r="U136" s="9" t="str">
        <f>IF($B$7&gt;3,COMPLEX($E136,0),1)</f>
        <v>0.535826794978997</v>
      </c>
      <c r="V136" s="9" t="str">
        <f>IF($B$7&gt;4,COMPLEX($E136,0),1)</f>
        <v>0.535826794978997</v>
      </c>
      <c r="W136" s="9" t="str">
        <f>IF($B$7&gt;4,COMPLEX(0,$D136*$B$20),0)</f>
        <v>206.45614914452i</v>
      </c>
      <c r="X136" s="9" t="str">
        <f>IF($B$7&gt;4,COMPLEX(0,$D136/$B$20),0)</f>
        <v>3.45298335136297E-003i</v>
      </c>
      <c r="Y136" s="9" t="str">
        <f>IF($B$7&gt;4,COMPLEX($E136,0),1)</f>
        <v>0.535826794978997</v>
      </c>
      <c r="Z136" s="9" t="str">
        <f>IF($B$7&gt;5,COMPLEX($E136,0),1)</f>
        <v>0.535826794978997</v>
      </c>
      <c r="AA136" s="9" t="str">
        <f>IF($B$7&gt;5,COMPLEX(0,$D136*$B$21),0)</f>
        <v>246.882983103636i</v>
      </c>
      <c r="AB136" s="9" t="str">
        <f>IF($B$7&gt;5,COMPLEX(0,$D136/$B$21),0)</f>
        <v>2.88756088743176E-003i</v>
      </c>
      <c r="AC136" s="9" t="str">
        <f>IF($B$7&gt;5,COMPLEX($E136,0),1)</f>
        <v>0.535826794978997</v>
      </c>
      <c r="AD136" s="9" t="str">
        <f>IF($B$7&gt;6,COMPLEX($E136,0),1)</f>
        <v>0.535826794978997</v>
      </c>
      <c r="AE136" s="9" t="str">
        <f>IF($B$7&gt;6,COMPLEX(0,$D136*$B$22),0)</f>
        <v>295.225923755288i</v>
      </c>
      <c r="AF136" s="9" t="str">
        <f>IF($B$7&gt;6,COMPLEX(0,$D136/$B$22),0)</f>
        <v>2.41472576904678E-003i</v>
      </c>
      <c r="AG136" s="9" t="str">
        <f>IF($B$7&gt;6,COMPLEX($E136,0),1)</f>
        <v>0.535826794978997</v>
      </c>
      <c r="AH136" s="9" t="str">
        <f>IF($B$7&gt;7,COMPLEX($E136,0),1)</f>
        <v>0.535826794978997</v>
      </c>
      <c r="AI136" s="9" t="str">
        <f>IF($B$7&gt;7,COMPLEX(0,$D136*$B$23),0)</f>
        <v>353.035049080625i</v>
      </c>
      <c r="AJ136" s="9" t="str">
        <f>IF($B$7&gt;7,COMPLEX(0,$D136/$B$23),0)</f>
        <v>2.01931691382781E-003i</v>
      </c>
      <c r="AK136" s="9" t="str">
        <f>IF($B$7&gt;7,COMPLEX($E136,0),1)</f>
        <v>0.535826794978997</v>
      </c>
      <c r="AL136" s="4" t="str">
        <f>IMSUM(IMPRODUCT(F136,J136),IMPRODUCT(G136,L136))</f>
        <v>-0.309044347022027</v>
      </c>
      <c r="AM136" s="5" t="str">
        <f>IMSUM(IMPRODUCT(F136,K136),IMPRODUCT(G136,M136))</f>
        <v>118.793943978238i</v>
      </c>
      <c r="AN136" s="5" t="str">
        <f>IMSUM(IMPRODUCT(H136,J136),IMPRODUCT(I136,L136))</f>
        <v>6.94711198769268E-003i</v>
      </c>
      <c r="AO136" s="5" t="str">
        <f>IMSUM(IMPRODUCT(H136,K136),IMPRODUCT(I136,M136))</f>
        <v>-0.565372476174216</v>
      </c>
      <c r="AP136" s="4" t="str">
        <f>IMSUM(IMPRODUCT(AL136,N136),IMPRODUCT(AM136,P136))</f>
        <v>-0.752158307251063</v>
      </c>
      <c r="AQ136" s="5" t="str">
        <f>IMSUM(IMPRODUCT(AL136,O136),IMPRODUCT(AM136,Q136))</f>
        <v>19.0337598176391i</v>
      </c>
      <c r="AR136" s="5" t="str">
        <f>IMSUM(IMPRODUCT(AN136,N136),IMPRODUCT(AO136,P136))</f>
        <v>9.3083188107394E-004i</v>
      </c>
      <c r="AS136" s="5" t="str">
        <f>IMSUM(IMPRODUCT(AN136,O136),IMPRODUCT(AO136,Q136))</f>
        <v>-1.30595216469125</v>
      </c>
      <c r="AT136" s="4" t="str">
        <f>IMSUM(IMPRODUCT(AP136,R136),IMPRODUCT(AQ136,T136))</f>
        <v>-0.481619310204994</v>
      </c>
      <c r="AU136" s="5" t="str">
        <f>IMSUM(IMPRODUCT(AP136,S136),IMPRODUCT(AQ136,U136))</f>
        <v>-119.660707106878i</v>
      </c>
      <c r="AV136" s="5" t="str">
        <f>IMSUM(IMPRODUCT(AR136,R136),IMPRODUCT(AS136,T136))</f>
        <v>-4.89367243428198E-003i</v>
      </c>
      <c r="AW136" s="5" t="str">
        <f>IMSUM(IMPRODUCT(AR136,S136),IMPRODUCT(AS136,U136))</f>
        <v>-0.860471512215706</v>
      </c>
      <c r="AX136" s="4" t="str">
        <f>IMSUM(IMPRODUCT(AT136,V136),IMPRODUCT(AU136,X136))</f>
        <v>0.155121898065233</v>
      </c>
      <c r="AY136" s="5" t="str">
        <f>IMSUM(IMPRODUCT(AT136,W136),IMPRODUCT(AU136,Y136))</f>
        <v>-163.550681312562i</v>
      </c>
      <c r="AZ136" s="5" t="str">
        <f>IMSUM(IMPRODUCT(AV136,V136),IMPRODUCT(AW136,X136))</f>
        <v>-5.59335462214133E-003i</v>
      </c>
      <c r="BA136" s="5" t="str">
        <f>IMSUM(IMPRODUCT(AV136,W136),IMPRODUCT(AW136,Y136))</f>
        <v>0.549265073395277</v>
      </c>
      <c r="BB136" s="4" t="str">
        <f>IMSUM(IMPRODUCT(AX136,Z136),IMPRODUCT(AY136,AB136))</f>
        <v>0.555381019942322</v>
      </c>
      <c r="BC136" s="5" t="str">
        <f>IMSUM(IMPRODUCT(AX136,AA136),IMPRODUCT(AY136,AC136))</f>
        <v>-49.3378804452985i</v>
      </c>
      <c r="BD136" s="5" t="str">
        <f>IMSUM(IMPRODUCT(AZ136,Z136),IMPRODUCT(BA136,AB136))</f>
        <v>-1.41103293759441E-003i</v>
      </c>
      <c r="BE136" s="5" t="str">
        <f>IMSUM(IMPRODUCT(AZ136,AA136),IMPRODUCT(BA136,AC136))</f>
        <v>1.67521501854205</v>
      </c>
      <c r="BF136" s="4" t="str">
        <f>IMSUM(IMPRODUCT(BB136,AD136),IMPRODUCT(BC136,AF136))</f>
        <v>0.416725483209273</v>
      </c>
      <c r="BG136" s="5" t="str">
        <f>IMSUM(IMPRODUCT(BB136,AE136),IMPRODUCT(BC136,AG136))</f>
        <v>137.526316298565i</v>
      </c>
      <c r="BH136" s="5" t="str">
        <f>IMSUM(IMPRODUCT(BD136,AD136),IMPRODUCT(BE136,AF136))</f>
        <v>3.28911561740666E-003i</v>
      </c>
      <c r="BI136" s="5" t="str">
        <f>IMSUM(IMPRODUCT(BD136,AE136),IMPRODUCT(BE136,AG136))</f>
        <v>1.31419859673652</v>
      </c>
      <c r="BJ136" s="4" t="str">
        <f>IMSUM(IMPRODUCT(BF136,AH136),IMPRODUCT(BG136,AJ136))</f>
        <v>-5.4416536544027E-002</v>
      </c>
      <c r="BK136" s="5" t="str">
        <f>IMSUM(IMPRODUCT(BF136,AI136),IMPRODUCT(BG136,AK136))</f>
        <v>220.808986705461i</v>
      </c>
      <c r="BL136" s="5" t="str">
        <f>IMSUM(IMPRODUCT(BH136,AH136),IMPRODUCT(BI136,AJ136))</f>
        <v>4.41617973410921E-003i</v>
      </c>
      <c r="BM136" s="5" t="str">
        <f>IMSUM(IMPRODUCT(BH136,AI136),IMPRODUCT(BI136,AK136))</f>
        <v>-0.456990271367785</v>
      </c>
      <c r="BN136" s="4">
        <f t="shared" si="4"/>
        <v>500</v>
      </c>
      <c r="BO136" s="4">
        <v>1</v>
      </c>
      <c r="BP136" s="4" t="str">
        <f>IMSUM(IMPRODUCT($BJ136,$BN136),IMPRODUCT($BK136,$BO136))</f>
        <v>-27.2082682720135+220.808986705461i</v>
      </c>
      <c r="BQ136" s="4" t="str">
        <f>IMSUM(IMPRODUCT($BL136,$BN136),IMPRODUCT($BM136,$BO136))</f>
        <v>-0.456990271367785+2.20808986705461i</v>
      </c>
      <c r="BR136" s="4" t="str">
        <f>IMDIV($BP136,$BQ136)</f>
        <v>98.3380675974426-8.03014052538417i</v>
      </c>
      <c r="BS136" s="4" t="str">
        <f>IMDIV(IMSUB($BQ$100,$BR136),IMSUM($BQ$100,$BR136))</f>
        <v>6.72905250451468E-003+4.07595771226639E-002i</v>
      </c>
      <c r="BT136" s="4">
        <f>IMABS($BS136)</f>
        <v>0.0413112971816052</v>
      </c>
      <c r="BU136" s="4">
        <f t="shared" si="5"/>
        <v>1.0861829226946276</v>
      </c>
      <c r="BV136" s="4">
        <f t="shared" si="6"/>
        <v>-0.007418102464622409</v>
      </c>
    </row>
    <row r="137" spans="1:74" ht="12.75">
      <c r="A137" s="5">
        <v>34</v>
      </c>
      <c r="B137" s="5">
        <f t="shared" si="1"/>
        <v>6.6000000000000005</v>
      </c>
      <c r="C137" s="4">
        <f t="shared" si="7"/>
        <v>1.0367255756846319</v>
      </c>
      <c r="D137" s="4">
        <f t="shared" si="2"/>
        <v>0.8607420270039436</v>
      </c>
      <c r="E137" s="5">
        <f t="shared" si="3"/>
        <v>0.5090414157503712</v>
      </c>
      <c r="F137" s="9" t="str">
        <f>IF($B$7&gt;0,COMPLEX($E137,0),1)</f>
        <v>0.509041415750371</v>
      </c>
      <c r="G137" s="9" t="str">
        <f>IF($B$7&gt;0,COMPLEX(0,$D137*$B$16),0)</f>
        <v>102.92866557375i</v>
      </c>
      <c r="H137" s="9" t="str">
        <f>IF($B$7&gt;0,COMPLEX(0,$D137/$B$16),0)</f>
        <v>7.19796407464362E-003i</v>
      </c>
      <c r="I137" s="9" t="str">
        <f>IF($B$7&gt;0,COMPLEX($E137,0),1)</f>
        <v>0.509041415750371</v>
      </c>
      <c r="J137" s="9" t="str">
        <f>IF($B$7&gt;1,COMPLEX($E137,0),1)</f>
        <v>0.509041415750371</v>
      </c>
      <c r="K137" s="9" t="str">
        <f>IF($B$7&gt;1,COMPLEX(0,$D137*$B$17),0)</f>
        <v>123.083454326836i</v>
      </c>
      <c r="L137" s="9" t="str">
        <f>IF($B$7&gt;1,COMPLEX(0,$D137/$B$17),0)</f>
        <v>6.01930487816448E-003i</v>
      </c>
      <c r="M137" s="9" t="str">
        <f>IF($B$7&gt;1,COMPLEX($E137,0),1)</f>
        <v>0.509041415750371</v>
      </c>
      <c r="N137" s="9" t="str">
        <f>IF($B$7&gt;2,COMPLEX($E137,0),1)</f>
        <v>0.509041415750371</v>
      </c>
      <c r="O137" s="9" t="str">
        <f>IF($B$7&gt;2,COMPLEX(0,$D137*$B$18),0)</f>
        <v>147.184816247049i</v>
      </c>
      <c r="P137" s="9" t="str">
        <f>IF($B$7&gt;2,COMPLEX(0,$D137/$B$18),0)</f>
        <v>5.03364990996966E-003i</v>
      </c>
      <c r="Q137" s="9" t="str">
        <f>IF($B$7&gt;2,COMPLEX($E137,0),1)</f>
        <v>0.509041415750371</v>
      </c>
      <c r="R137" s="9" t="str">
        <f>IF($B$7&gt;3,COMPLEX($E137,0),1)</f>
        <v>0.509041415750371</v>
      </c>
      <c r="S137" s="9" t="str">
        <f>IF($B$7&gt;3,COMPLEX(0,$D137*$B$19),0)</f>
        <v>176.005542354642i</v>
      </c>
      <c r="T137" s="9" t="str">
        <f>IF($B$7&gt;3,COMPLEX(0,$D137/$B$19),0)</f>
        <v>4.20939492665538E-003i</v>
      </c>
      <c r="U137" s="9" t="str">
        <f>IF($B$7&gt;3,COMPLEX($E137,0),1)</f>
        <v>0.509041415750371</v>
      </c>
      <c r="V137" s="9" t="str">
        <f>IF($B$7&gt;4,COMPLEX($E137,0),1)</f>
        <v>0.509041415750371</v>
      </c>
      <c r="W137" s="9" t="str">
        <f>IF($B$7&gt;4,COMPLEX(0,$D137*$B$20),0)</f>
        <v>210.469746332769i</v>
      </c>
      <c r="X137" s="9" t="str">
        <f>IF($B$7&gt;4,COMPLEX(0,$D137/$B$20),0)</f>
        <v>3.52011084709283E-003i</v>
      </c>
      <c r="Y137" s="9" t="str">
        <f>IF($B$7&gt;4,COMPLEX($E137,0),1)</f>
        <v>0.509041415750371</v>
      </c>
      <c r="Z137" s="9" t="str">
        <f>IF($B$7&gt;5,COMPLEX($E137,0),1)</f>
        <v>0.509041415750371</v>
      </c>
      <c r="AA137" s="9" t="str">
        <f>IF($B$7&gt;5,COMPLEX(0,$D137*$B$21),0)</f>
        <v>251.682495498483i</v>
      </c>
      <c r="AB137" s="9" t="str">
        <f>IF($B$7&gt;5,COMPLEX(0,$D137/$B$21),0)</f>
        <v>2.94369632494098E-003i</v>
      </c>
      <c r="AC137" s="9" t="str">
        <f>IF($B$7&gt;5,COMPLEX($E137,0),1)</f>
        <v>0.509041415750371</v>
      </c>
      <c r="AD137" s="9" t="str">
        <f>IF($B$7&gt;6,COMPLEX($E137,0),1)</f>
        <v>0.509041415750371</v>
      </c>
      <c r="AE137" s="9" t="str">
        <f>IF($B$7&gt;6,COMPLEX(0,$D137*$B$22),0)</f>
        <v>300.965243908224i</v>
      </c>
      <c r="AF137" s="9" t="str">
        <f>IF($B$7&gt;6,COMPLEX(0,$D137/$B$22),0)</f>
        <v>2.46166908653672E-003i</v>
      </c>
      <c r="AG137" s="9" t="str">
        <f>IF($B$7&gt;6,COMPLEX($E137,0),1)</f>
        <v>0.509041415750371</v>
      </c>
      <c r="AH137" s="9" t="str">
        <f>IF($B$7&gt;7,COMPLEX($E137,0),1)</f>
        <v>0.509041415750371</v>
      </c>
      <c r="AI137" s="9" t="str">
        <f>IF($B$7&gt;7,COMPLEX(0,$D137*$B$23),0)</f>
        <v>359.898203732181i</v>
      </c>
      <c r="AJ137" s="9" t="str">
        <f>IF($B$7&gt;7,COMPLEX(0,$D137/$B$23),0)</f>
        <v>2.05857331147499E-003i</v>
      </c>
      <c r="AK137" s="9" t="str">
        <f>IF($B$7&gt;7,COMPLEX($E137,0),1)</f>
        <v>0.509041415750371</v>
      </c>
      <c r="AL137" s="4" t="str">
        <f>IMSUM(IMPRODUCT(F137,J137),IMPRODUCT(G137,L137))</f>
        <v>-0.360435855841892</v>
      </c>
      <c r="AM137" s="5" t="str">
        <f>IMSUM(IMPRODUCT(F137,K137),IMPRODUCT(G137,M137))</f>
        <v>115.049529490937i</v>
      </c>
      <c r="AN137" s="5" t="str">
        <f>IMSUM(IMPRODUCT(H137,J137),IMPRODUCT(I137,L137))</f>
        <v>6.72813730009086E-003i</v>
      </c>
      <c r="AO137" s="5" t="str">
        <f>IMSUM(IMPRODUCT(H137,K137),IMPRODUCT(I137,M137))</f>
        <v>-0.626827119478462</v>
      </c>
      <c r="AP137" s="4" t="str">
        <f>IMSUM(IMPRODUCT(AL137,N137),IMPRODUCT(AM137,P137))</f>
        <v>-0.76259583210906</v>
      </c>
      <c r="AQ137" s="5" t="str">
        <f>IMSUM(IMPRODUCT(AL137,O137),IMPRODUCT(AM137,Q137))</f>
        <v>5.5142901625439i</v>
      </c>
      <c r="AR137" s="5" t="str">
        <f>IMSUM(IMPRODUCT(AN137,N137),IMPRODUCT(AO137,P137))</f>
        <v>2.6967226307183E-004i</v>
      </c>
      <c r="AS137" s="5" t="str">
        <f>IMSUM(IMPRODUCT(AN137,O137),IMPRODUCT(AO137,Q137))</f>
        <v>-1.30936061652883</v>
      </c>
      <c r="AT137" s="4" t="str">
        <f>IMSUM(IMPRODUCT(AP137,R137),IMPRODUCT(AQ137,T137))</f>
        <v>-0.411404687056446</v>
      </c>
      <c r="AU137" s="5" t="str">
        <f>IMSUM(IMPRODUCT(AP137,S137),IMPRODUCT(AQ137,U137))</f>
        <v>-131.414090956545i</v>
      </c>
      <c r="AV137" s="5" t="str">
        <f>IMSUM(IMPRODUCT(AR137,R137),IMPRODUCT(AS137,T137))</f>
        <v>-5.37434158579613E-003i</v>
      </c>
      <c r="AW137" s="5" t="str">
        <f>IMSUM(IMPRODUCT(AR137,S137),IMPRODUCT(AS137,U137))</f>
        <v>-0.713982594885575</v>
      </c>
      <c r="AX137" s="4" t="str">
        <f>IMSUM(IMPRODUCT(AT137,V137),IMPRODUCT(AU137,X137))</f>
        <v>0.253170142691426</v>
      </c>
      <c r="AY137" s="5" t="str">
        <f>IMSUM(IMPRODUCT(AT137,W137),IMPRODUCT(AU137,Y137))</f>
        <v>-153.48345503495i</v>
      </c>
      <c r="AZ137" s="5" t="str">
        <f>IMSUM(IMPRODUCT(AV137,V137),IMPRODUCT(AW137,X137))</f>
        <v>-5.24906032645196E-003i</v>
      </c>
      <c r="BA137" s="5" t="str">
        <f>IMSUM(IMPRODUCT(AV137,W137),IMPRODUCT(AW137,Y137))</f>
        <v>0.767689599346483</v>
      </c>
      <c r="BB137" s="4" t="str">
        <f>IMSUM(IMPRODUCT(AX137,Z137),IMPRODUCT(AY137,AB137))</f>
        <v>0.580682770386993</v>
      </c>
      <c r="BC137" s="5" t="str">
        <f>IMSUM(IMPRODUCT(AX137,AA137),IMPRODUCT(AY137,AC137))</f>
        <v>-14.4109419469643i</v>
      </c>
      <c r="BD137" s="5" t="str">
        <f>IMSUM(IMPRODUCT(AZ137,Z137),IMPRODUCT(BA137,AB137))</f>
        <v>-4.1214404764455E-004i</v>
      </c>
      <c r="BE137" s="5" t="str">
        <f>IMSUM(IMPRODUCT(AZ137,AA137),IMPRODUCT(BA137,AC137))</f>
        <v>1.71188240249168</v>
      </c>
      <c r="BF137" s="4" t="str">
        <f>IMSUM(IMPRODUCT(BB137,AD137),IMPRODUCT(BC137,AF137))</f>
        <v>0.33106654983836</v>
      </c>
      <c r="BG137" s="5" t="str">
        <f>IMSUM(IMPRODUCT(BB137,AE137),IMPRODUCT(BC137,AG137))</f>
        <v>167.429565331846i</v>
      </c>
      <c r="BH137" s="5" t="str">
        <f>IMSUM(IMPRODUCT(BD137,AD137),IMPRODUCT(BE137,AF137))</f>
        <v>4.00428960049391E-003i</v>
      </c>
      <c r="BI137" s="5" t="str">
        <f>IMSUM(IMPRODUCT(BD137,AE137),IMPRODUCT(BE137,AG137))</f>
        <v>0.995460075587176</v>
      </c>
      <c r="BJ137" s="4" t="str">
        <f>IMSUM(IMPRODUCT(BF137,AH137),IMPRODUCT(BG137,AJ137))</f>
        <v>-0.176139449506686</v>
      </c>
      <c r="BK137" s="5" t="str">
        <f>IMSUM(IMPRODUCT(BF137,AI137),IMPRODUCT(BG137,AK137))</f>
        <v>204.378839577628i</v>
      </c>
      <c r="BL137" s="5" t="str">
        <f>IMSUM(IMPRODUCT(BH137,AH137),IMPRODUCT(BI137,AJ137))</f>
        <v>4.08757679155255E-003i</v>
      </c>
      <c r="BM137" s="5" t="str">
        <f>IMSUM(IMPRODUCT(BH137,AI137),IMPRODUCT(BI137,AK137))</f>
        <v>-0.934406228241343</v>
      </c>
      <c r="BN137" s="4">
        <f t="shared" si="4"/>
        <v>500</v>
      </c>
      <c r="BO137" s="4">
        <v>1</v>
      </c>
      <c r="BP137" s="4" t="str">
        <f>IMSUM(IMPRODUCT($BJ137,$BN137),IMPRODUCT($BK137,$BO137))</f>
        <v>-88.069724753343+204.378839577628i</v>
      </c>
      <c r="BQ137" s="4" t="str">
        <f>IMSUM(IMPRODUCT($BL137,$BN137),IMPRODUCT($BM137,$BO137))</f>
        <v>-0.934406228241343+2.04378839577628i</v>
      </c>
      <c r="BR137" s="4" t="str">
        <f>IMDIV($BP137,$BQ137)</f>
        <v>99.0062543037922-2.1735791788168i</v>
      </c>
      <c r="BS137" s="4" t="str">
        <f>IMDIV(IMSUB($BQ$100,$BR137),IMSUM($BQ$100,$BR137))</f>
        <v>4.87366493616166E-003+1.09753961406275E-002i</v>
      </c>
      <c r="BT137" s="4">
        <f>IMABS($BS137)</f>
        <v>0.012008827184770069</v>
      </c>
      <c r="BU137" s="4">
        <f t="shared" si="5"/>
        <v>1.0243095839622767</v>
      </c>
      <c r="BV137" s="4">
        <f t="shared" si="6"/>
        <v>-0.0006263496204015032</v>
      </c>
    </row>
    <row r="138" spans="1:74" ht="12.75">
      <c r="A138" s="5">
        <v>35</v>
      </c>
      <c r="B138" s="5">
        <f t="shared" si="1"/>
        <v>6.800000000000001</v>
      </c>
      <c r="C138" s="4">
        <f t="shared" si="7"/>
        <v>1.0681415022205298</v>
      </c>
      <c r="D138" s="4">
        <f t="shared" si="2"/>
        <v>0.8763066800438636</v>
      </c>
      <c r="E138" s="5">
        <f t="shared" si="3"/>
        <v>0.4817536741017152</v>
      </c>
      <c r="F138" s="9" t="str">
        <f>IF($B$7&gt;0,COMPLEX($E138,0),1)</f>
        <v>0.481753674101715</v>
      </c>
      <c r="G138" s="9" t="str">
        <f>IF($B$7&gt;0,COMPLEX(0,$D138*$B$16),0)</f>
        <v>104.789907289916i</v>
      </c>
      <c r="H138" s="9" t="str">
        <f>IF($B$7&gt;0,COMPLEX(0,$D138/$B$16),0)</f>
        <v>7.3281236461538E-003i</v>
      </c>
      <c r="I138" s="9" t="str">
        <f>IF($B$7&gt;0,COMPLEX($E138,0),1)</f>
        <v>0.481753674101715</v>
      </c>
      <c r="J138" s="9" t="str">
        <f>IF($B$7&gt;1,COMPLEX($E138,0),1)</f>
        <v>0.481753674101715</v>
      </c>
      <c r="K138" s="9" t="str">
        <f>IF($B$7&gt;1,COMPLEX(0,$D138*$B$17),0)</f>
        <v>125.309151691957i</v>
      </c>
      <c r="L138" s="9" t="str">
        <f>IF($B$7&gt;1,COMPLEX(0,$D138/$B$17),0)</f>
        <v>6.12815095402792E-003i</v>
      </c>
      <c r="M138" s="9" t="str">
        <f>IF($B$7&gt;1,COMPLEX($E138,0),1)</f>
        <v>0.481753674101715</v>
      </c>
      <c r="N138" s="9" t="str">
        <f>IF($B$7&gt;2,COMPLEX($E138,0),1)</f>
        <v>0.481753674101715</v>
      </c>
      <c r="O138" s="9" t="str">
        <f>IF($B$7&gt;2,COMPLEX(0,$D138*$B$18),0)</f>
        <v>149.846334478712i</v>
      </c>
      <c r="P138" s="9" t="str">
        <f>IF($B$7&gt;2,COMPLEX(0,$D138/$B$18),0)</f>
        <v>5.12467255312537E-003i</v>
      </c>
      <c r="Q138" s="9" t="str">
        <f>IF($B$7&gt;2,COMPLEX($E138,0),1)</f>
        <v>0.481753674101715</v>
      </c>
      <c r="R138" s="9" t="str">
        <f>IF($B$7&gt;3,COMPLEX($E138,0),1)</f>
        <v>0.481753674101715</v>
      </c>
      <c r="S138" s="9" t="str">
        <f>IF($B$7&gt;3,COMPLEX(0,$D138*$B$19),0)</f>
        <v>179.188220920238i</v>
      </c>
      <c r="T138" s="9" t="str">
        <f>IF($B$7&gt;3,COMPLEX(0,$D138/$B$19),0)</f>
        <v>4.28551270583417E-003i</v>
      </c>
      <c r="U138" s="9" t="str">
        <f>IF($B$7&gt;3,COMPLEX($E138,0),1)</f>
        <v>0.481753674101715</v>
      </c>
      <c r="V138" s="9" t="str">
        <f>IF($B$7&gt;4,COMPLEX($E138,0),1)</f>
        <v>0.481753674101715</v>
      </c>
      <c r="W138" s="9" t="str">
        <f>IF($B$7&gt;4,COMPLEX(0,$D138*$B$20),0)</f>
        <v>214.275635291709i</v>
      </c>
      <c r="X138" s="9" t="str">
        <f>IF($B$7&gt;4,COMPLEX(0,$D138/$B$20),0)</f>
        <v>3.58376441840475E-003i</v>
      </c>
      <c r="Y138" s="9" t="str">
        <f>IF($B$7&gt;4,COMPLEX($E138,0),1)</f>
        <v>0.481753674101715</v>
      </c>
      <c r="Z138" s="9" t="str">
        <f>IF($B$7&gt;5,COMPLEX($E138,0),1)</f>
        <v>0.481753674101715</v>
      </c>
      <c r="AA138" s="9" t="str">
        <f>IF($B$7&gt;5,COMPLEX(0,$D138*$B$21),0)</f>
        <v>256.233627656268i</v>
      </c>
      <c r="AB138" s="9" t="str">
        <f>IF($B$7&gt;5,COMPLEX(0,$D138/$B$21),0)</f>
        <v>2.99692668957424E-003i</v>
      </c>
      <c r="AC138" s="9" t="str">
        <f>IF($B$7&gt;5,COMPLEX($E138,0),1)</f>
        <v>0.481753674101715</v>
      </c>
      <c r="AD138" s="9" t="str">
        <f>IF($B$7&gt;6,COMPLEX($E138,0),1)</f>
        <v>0.481753674101715</v>
      </c>
      <c r="AE138" s="9" t="str">
        <f>IF($B$7&gt;6,COMPLEX(0,$D138*$B$22),0)</f>
        <v>306.407547701396i</v>
      </c>
      <c r="AF138" s="9" t="str">
        <f>IF($B$7&gt;6,COMPLEX(0,$D138/$B$22),0)</f>
        <v>2.50618303383915E-003i</v>
      </c>
      <c r="AG138" s="9" t="str">
        <f>IF($B$7&gt;6,COMPLEX($E138,0),1)</f>
        <v>0.481753674101715</v>
      </c>
      <c r="AH138" s="9" t="str">
        <f>IF($B$7&gt;7,COMPLEX($E138,0),1)</f>
        <v>0.481753674101715</v>
      </c>
      <c r="AI138" s="9" t="str">
        <f>IF($B$7&gt;7,COMPLEX(0,$D138*$B$23),0)</f>
        <v>366.40618230769i</v>
      </c>
      <c r="AJ138" s="9" t="str">
        <f>IF($B$7&gt;7,COMPLEX(0,$D138/$B$23),0)</f>
        <v>2.09579814579832E-003i</v>
      </c>
      <c r="AK138" s="9" t="str">
        <f>IF($B$7&gt;7,COMPLEX($E138,0),1)</f>
        <v>0.481753674101715</v>
      </c>
      <c r="AL138" s="4" t="str">
        <f>IMSUM(IMPRODUCT(F138,J138),IMPRODUCT(G138,L138))</f>
        <v>-0.410081767820695</v>
      </c>
      <c r="AM138" s="5" t="str">
        <f>IMSUM(IMPRODUCT(F138,K138),IMPRODUCT(G138,M138))</f>
        <v>110.851067071864i</v>
      </c>
      <c r="AN138" s="5" t="str">
        <f>IMSUM(IMPRODUCT(H138,J138),IMPRODUCT(I138,L138))</f>
        <v>6.48260972835913E-003i</v>
      </c>
      <c r="AO138" s="5" t="str">
        <f>IMSUM(IMPRODUCT(H138,K138),IMPRODUCT(I138,M138))</f>
        <v>-0.686194355082803</v>
      </c>
      <c r="AP138" s="4" t="str">
        <f>IMSUM(IMPRODUCT(AL138,N138),IMPRODUCT(AM138,P138))</f>
        <v>-0.765633819237587</v>
      </c>
      <c r="AQ138" s="5" t="str">
        <f>IMSUM(IMPRODUCT(AL138,O138),IMPRODUCT(AM138,Q138))</f>
        <v>-8.0463409045153i</v>
      </c>
      <c r="AR138" s="5" t="str">
        <f>IMSUM(IMPRODUCT(AN138,N138),IMPRODUCT(AO138,P138))</f>
        <v>-3.9350032319788E-004i</v>
      </c>
      <c r="AS138" s="5" t="str">
        <f>IMSUM(IMPRODUCT(AN138,O138),IMPRODUCT(AO138,Q138))</f>
        <v>-1.30197195735965</v>
      </c>
      <c r="AT138" s="4" t="str">
        <f>IMSUM(IMPRODUCT(AP138,R138),IMPRODUCT(AQ138,T138))</f>
        <v>-0.334364209252462</v>
      </c>
      <c r="AU138" s="5" t="str">
        <f>IMSUM(IMPRODUCT(AP138,S138),IMPRODUCT(AQ138,U138))</f>
        <v>-141.068916239375i</v>
      </c>
      <c r="AV138" s="5" t="str">
        <f>IMSUM(IMPRODUCT(AR138,R138),IMPRODUCT(AS138,T138))</f>
        <v>-5.76918759236535E-003i</v>
      </c>
      <c r="AW138" s="5" t="str">
        <f>IMSUM(IMPRODUCT(AR138,S138),IMPRODUCT(AS138,U138))</f>
        <v>-0.556719151190046</v>
      </c>
      <c r="AX138" s="4" t="str">
        <f>IMSUM(IMPRODUCT(AT138,V138),IMPRODUCT(AU138,X138))</f>
        <v>0.344476576266104</v>
      </c>
      <c r="AY138" s="5" t="str">
        <f>IMSUM(IMPRODUCT(AT138,W138),IMPRODUCT(AU138,Y138))</f>
        <v>-139.606572056247i</v>
      </c>
      <c r="AZ138" s="5" t="str">
        <f>IMSUM(IMPRODUCT(AV138,V138),IMPRODUCT(AW138,X138))</f>
        <v>-4.77447760428341E-003i</v>
      </c>
      <c r="BA138" s="5" t="str">
        <f>IMSUM(IMPRODUCT(AV138,W138),IMPRODUCT(AW138,Y138))</f>
        <v>0.967994839942537</v>
      </c>
      <c r="BB138" s="4" t="str">
        <f>IMSUM(IMPRODUCT(AX138,Z138),IMPRODUCT(AY138,AB138))</f>
        <v>0.584343518093511</v>
      </c>
      <c r="BC138" s="5" t="str">
        <f>IMSUM(IMPRODUCT(AX138,AA138),IMPRODUCT(AY138,AC138))</f>
        <v>21.0105037624321i</v>
      </c>
      <c r="BD138" s="5" t="str">
        <f>IMSUM(IMPRODUCT(AZ138,Z138),IMPRODUCT(BA138,AB138))</f>
        <v>6.0088744341404E-004i</v>
      </c>
      <c r="BE138" s="5" t="str">
        <f>IMSUM(IMPRODUCT(AZ138,AA138),IMPRODUCT(BA138,AC138))</f>
        <v>1.68971678736297</v>
      </c>
      <c r="BF138" s="4" t="str">
        <f>IMSUM(IMPRODUCT(BB138,AD138),IMPRODUCT(BC138,AF138))</f>
        <v>0.22885346871725</v>
      </c>
      <c r="BG138" s="5" t="str">
        <f>IMSUM(IMPRODUCT(BB138,AE138),IMPRODUCT(BC138,AG138))</f>
        <v>189.169151776519i</v>
      </c>
      <c r="BH138" s="5" t="str">
        <f>IMSUM(IMPRODUCT(BD138,AD138),IMPRODUCT(BE138,AF138))</f>
        <v>4.52421927806857E-003i</v>
      </c>
      <c r="BI138" s="5" t="str">
        <f>IMSUM(IMPRODUCT(BD138,AE138),IMPRODUCT(BE138,AG138))</f>
        <v>0.6299108225224</v>
      </c>
      <c r="BJ138" s="4" t="str">
        <f>IMSUM(IMPRODUCT(BF138,AH138),IMPRODUCT(BG138,AJ138))</f>
        <v>-0.286209358150012</v>
      </c>
      <c r="BK138" s="5" t="str">
        <f>IMSUM(IMPRODUCT(BF138,AI138),IMPRODUCT(BG138,AK138))</f>
        <v>174.986259675603i</v>
      </c>
      <c r="BL138" s="5" t="str">
        <f>IMSUM(IMPRODUCT(BH138,AH138),IMPRODUCT(BI138,AJ138))</f>
        <v>3.49972519351208E-003i</v>
      </c>
      <c r="BM138" s="5" t="str">
        <f>IMSUM(IMPRODUCT(BH138,AI138),IMPRODUCT(BI138,AK138))</f>
        <v>-1.35424006049336</v>
      </c>
      <c r="BN138" s="4">
        <f t="shared" si="4"/>
        <v>500</v>
      </c>
      <c r="BO138" s="4">
        <v>1</v>
      </c>
      <c r="BP138" s="4" t="str">
        <f>IMSUM(IMPRODUCT($BJ138,$BN138),IMPRODUCT($BK138,$BO138))</f>
        <v>-143.104679075006+174.986259675603i</v>
      </c>
      <c r="BQ138" s="4" t="str">
        <f>IMSUM(IMPRODUCT($BL138,$BN138),IMPRODUCT($BM138,$BO138))</f>
        <v>-1.35424006049336+1.74986259675604i</v>
      </c>
      <c r="BR138" s="4" t="str">
        <f>IMDIV($BP138,$BQ138)</f>
        <v>102.124490694717+2.74513131924969i</v>
      </c>
      <c r="BS138" s="4" t="str">
        <f>IMDIV(IMSUB($BQ$100,$BR138),IMSUM($BQ$100,$BR138))</f>
        <v>-1.06932846628374E-002-1.34361592664093E-002i</v>
      </c>
      <c r="BT138" s="4">
        <f>IMABS($BS138)</f>
        <v>0.017171974630565644</v>
      </c>
      <c r="BU138" s="4">
        <f t="shared" si="5"/>
        <v>1.0349440068604288</v>
      </c>
      <c r="BV138" s="4">
        <f t="shared" si="6"/>
        <v>-0.0012808221433231277</v>
      </c>
    </row>
    <row r="139" spans="1:74" ht="12.75">
      <c r="A139" s="5">
        <v>36</v>
      </c>
      <c r="B139" s="5">
        <f t="shared" si="1"/>
        <v>7</v>
      </c>
      <c r="C139" s="4">
        <f t="shared" si="7"/>
        <v>1.0995574287564276</v>
      </c>
      <c r="D139" s="4">
        <f t="shared" si="2"/>
        <v>0.8910065241883679</v>
      </c>
      <c r="E139" s="5">
        <f t="shared" si="3"/>
        <v>0.45399049973954686</v>
      </c>
      <c r="F139" s="9" t="str">
        <f>IF($B$7&gt;0,COMPLEX($E139,0),1)</f>
        <v>0.453990499739547</v>
      </c>
      <c r="G139" s="9" t="str">
        <f>IF($B$7&gt;0,COMPLEX(0,$D139*$B$16),0)</f>
        <v>106.547734019026i</v>
      </c>
      <c r="H139" s="9" t="str">
        <f>IF($B$7&gt;0,COMPLEX(0,$D139/$B$16),0)</f>
        <v>7.45105124436032E-003i</v>
      </c>
      <c r="I139" s="9" t="str">
        <f>IF($B$7&gt;0,COMPLEX($E139,0),1)</f>
        <v>0.453990499739547</v>
      </c>
      <c r="J139" s="9" t="str">
        <f>IF($B$7&gt;1,COMPLEX($E139,0),1)</f>
        <v>0.453990499739547</v>
      </c>
      <c r="K139" s="9" t="str">
        <f>IF($B$7&gt;1,COMPLEX(0,$D139*$B$17),0)</f>
        <v>127.411184053116i</v>
      </c>
      <c r="L139" s="9" t="str">
        <f>IF($B$7&gt;1,COMPLEX(0,$D139/$B$17),0)</f>
        <v>6.23094928476038E-003i</v>
      </c>
      <c r="M139" s="9" t="str">
        <f>IF($B$7&gt;1,COMPLEX($E139,0),1)</f>
        <v>0.453990499739547</v>
      </c>
      <c r="N139" s="9" t="str">
        <f>IF($B$7&gt;2,COMPLEX($E139,0),1)</f>
        <v>0.453990499739547</v>
      </c>
      <c r="O139" s="9" t="str">
        <f>IF($B$7&gt;2,COMPLEX(0,$D139*$B$18),0)</f>
        <v>152.359972469412i</v>
      </c>
      <c r="P139" s="9" t="str">
        <f>IF($B$7&gt;2,COMPLEX(0,$D139/$B$18),0)</f>
        <v>5.21063776318036E-003i</v>
      </c>
      <c r="Q139" s="9" t="str">
        <f>IF($B$7&gt;2,COMPLEX($E139,0),1)</f>
        <v>0.453990499739547</v>
      </c>
      <c r="R139" s="9" t="str">
        <f>IF($B$7&gt;3,COMPLEX($E139,0),1)</f>
        <v>0.453990499739547</v>
      </c>
      <c r="S139" s="9" t="str">
        <f>IF($B$7&gt;3,COMPLEX(0,$D139*$B$19),0)</f>
        <v>182.194062345441i</v>
      </c>
      <c r="T139" s="9" t="str">
        <f>IF($B$7&gt;3,COMPLEX(0,$D139/$B$19),0)</f>
        <v>4.35740120136852E-003i</v>
      </c>
      <c r="U139" s="9" t="str">
        <f>IF($B$7&gt;3,COMPLEX($E139,0),1)</f>
        <v>0.453990499739547</v>
      </c>
      <c r="V139" s="9" t="str">
        <f>IF($B$7&gt;4,COMPLEX($E139,0),1)</f>
        <v>0.453990499739547</v>
      </c>
      <c r="W139" s="9" t="str">
        <f>IF($B$7&gt;4,COMPLEX(0,$D139*$B$20),0)</f>
        <v>217.870060068426i</v>
      </c>
      <c r="X139" s="9" t="str">
        <f>IF($B$7&gt;4,COMPLEX(0,$D139/$B$20),0)</f>
        <v>3.64388124690882E-003i</v>
      </c>
      <c r="Y139" s="9" t="str">
        <f>IF($B$7&gt;4,COMPLEX($E139,0),1)</f>
        <v>0.453990499739547</v>
      </c>
      <c r="Z139" s="9" t="str">
        <f>IF($B$7&gt;5,COMPLEX($E139,0),1)</f>
        <v>0.453990499739547</v>
      </c>
      <c r="AA139" s="9" t="str">
        <f>IF($B$7&gt;5,COMPLEX(0,$D139*$B$21),0)</f>
        <v>260.531888159018i</v>
      </c>
      <c r="AB139" s="9" t="str">
        <f>IF($B$7&gt;5,COMPLEX(0,$D139/$B$21),0)</f>
        <v>3.04719944938824E-003i</v>
      </c>
      <c r="AC139" s="9" t="str">
        <f>IF($B$7&gt;5,COMPLEX($E139,0),1)</f>
        <v>0.453990499739547</v>
      </c>
      <c r="AD139" s="9" t="str">
        <f>IF($B$7&gt;6,COMPLEX($E139,0),1)</f>
        <v>0.453990499739547</v>
      </c>
      <c r="AE139" s="9" t="str">
        <f>IF($B$7&gt;6,COMPLEX(0,$D139*$B$22),0)</f>
        <v>311.547464238019i</v>
      </c>
      <c r="AF139" s="9" t="str">
        <f>IF($B$7&gt;6,COMPLEX(0,$D139/$B$22),0)</f>
        <v>2.54822368106232E-003i</v>
      </c>
      <c r="AG139" s="9" t="str">
        <f>IF($B$7&gt;6,COMPLEX($E139,0),1)</f>
        <v>0.453990499739547</v>
      </c>
      <c r="AH139" s="9" t="str">
        <f>IF($B$7&gt;7,COMPLEX($E139,0),1)</f>
        <v>0.453990499739547</v>
      </c>
      <c r="AI139" s="9" t="str">
        <f>IF($B$7&gt;7,COMPLEX(0,$D139*$B$23),0)</f>
        <v>372.552562218016i</v>
      </c>
      <c r="AJ139" s="9" t="str">
        <f>IF($B$7&gt;7,COMPLEX(0,$D139/$B$23),0)</f>
        <v>2.13095468038052E-003i</v>
      </c>
      <c r="AK139" s="9" t="str">
        <f>IF($B$7&gt;7,COMPLEX($E139,0),1)</f>
        <v>0.453990499739547</v>
      </c>
      <c r="AL139" s="4" t="str">
        <f>IMSUM(IMPRODUCT(F139,J139),IMPRODUCT(G139,L139))</f>
        <v>-0.457786153224925</v>
      </c>
      <c r="AM139" s="5" t="str">
        <f>IMSUM(IMPRODUCT(F139,K139),IMPRODUCT(G139,M139))</f>
        <v>106.215126134095i</v>
      </c>
      <c r="AN139" s="5" t="str">
        <f>IMSUM(IMPRODUCT(H139,J139),IMPRODUCT(I139,L139))</f>
        <v>6.21149825765226E-003i</v>
      </c>
      <c r="AO139" s="5" t="str">
        <f>IMSUM(IMPRODUCT(H139,K139),IMPRODUCT(I139,M139))</f>
        <v>-0.743239887630628</v>
      </c>
      <c r="AP139" s="4" t="str">
        <f>IMSUM(IMPRODUCT(AL139,N139),IMPRODUCT(AM139,P139))</f>
        <v>-0.76127911173171</v>
      </c>
      <c r="AQ139" s="5" t="str">
        <f>IMSUM(IMPRODUCT(AL139,O139),IMPRODUCT(AM139,Q139))</f>
        <v>-21.5276275087108i</v>
      </c>
      <c r="AR139" s="5" t="str">
        <f>IMSUM(IMPRODUCT(AN139,N139),IMPRODUCT(AO139,P139))</f>
        <v>-1.0527926274672E-003i</v>
      </c>
      <c r="AS139" s="5" t="str">
        <f>IMSUM(IMPRODUCT(AN139,O139),IMPRODUCT(AO139,Q139))</f>
        <v>-1.28380755154149</v>
      </c>
      <c r="AT139" s="4" t="str">
        <f>IMSUM(IMPRODUCT(AP139,R139),IMPRODUCT(AQ139,T139))</f>
        <v>-0.251808974407287</v>
      </c>
      <c r="AU139" s="5" t="str">
        <f>IMSUM(IMPRODUCT(AP139,S139),IMPRODUCT(AQ139,U139))</f>
        <v>-148.473872316015i</v>
      </c>
      <c r="AV139" s="5" t="str">
        <f>IMSUM(IMPRODUCT(AR139,R139),IMPRODUCT(AS139,T139))</f>
        <v>-6.07202241847882E-003i</v>
      </c>
      <c r="AW139" s="5" t="str">
        <f>IMSUM(IMPRODUCT(AR139,S139),IMPRODUCT(AS139,U139))</f>
        <v>-0.391023866288145</v>
      </c>
      <c r="AX139" s="4" t="str">
        <f>IMSUM(IMPRODUCT(AT139,V139),IMPRODUCT(AU139,X139))</f>
        <v>0.426702276858195</v>
      </c>
      <c r="AY139" s="5" t="str">
        <f>IMSUM(IMPRODUCT(AT139,W139),IMPRODUCT(AU139,Y139))</f>
        <v>-122.267363870898i</v>
      </c>
      <c r="AZ139" s="5" t="str">
        <f>IMSUM(IMPRODUCT(AV139,V139),IMPRODUCT(AW139,X139))</f>
        <v>-4.18148502565608E-003i</v>
      </c>
      <c r="BA139" s="5" t="str">
        <f>IMSUM(IMPRODUCT(AV139,W139),IMPRODUCT(AW139,Y139))</f>
        <v>1.14539076858457</v>
      </c>
      <c r="BB139" s="4" t="str">
        <f>IMSUM(IMPRODUCT(AX139,Z139),IMPRODUCT(AY139,AB139))</f>
        <v>0.566291823776407</v>
      </c>
      <c r="BC139" s="5" t="str">
        <f>IMSUM(IMPRODUCT(AX139,AA139),IMPRODUCT(AY139,AC139))</f>
        <v>55.661328246032i</v>
      </c>
      <c r="BD139" s="5" t="str">
        <f>IMSUM(IMPRODUCT(AZ139,Z139),IMPRODUCT(BA139,AB139))</f>
        <v>1.59187964291423E-003i</v>
      </c>
      <c r="BE139" s="5" t="str">
        <f>IMSUM(IMPRODUCT(AZ139,AA139),IMPRODUCT(BA139,AC139))</f>
        <v>1.60940671646961</v>
      </c>
      <c r="BF139" s="4" t="str">
        <f>IMSUM(IMPRODUCT(BB139,AD139),IMPRODUCT(BC139,AF139))</f>
        <v>0.115253593318749</v>
      </c>
      <c r="BG139" s="5" t="str">
        <f>IMSUM(IMPRODUCT(BB139,AE139),IMPRODUCT(BC139,AG139))</f>
        <v>201.696495942846i</v>
      </c>
      <c r="BH139" s="5" t="str">
        <f>IMSUM(IMPRODUCT(BD139,AD139),IMPRODUCT(BE139,AF139))</f>
        <v>4.82382654198045E-003i</v>
      </c>
      <c r="BI139" s="5" t="str">
        <f>IMSUM(IMPRODUCT(BD139,AE139),IMPRODUCT(BE139,AG139))</f>
        <v>0.23470929337217</v>
      </c>
      <c r="BJ139" s="4" t="str">
        <f>IMSUM(IMPRODUCT(BF139,AH139),IMPRODUCT(BG139,AJ139))</f>
        <v>-0.377482055618201</v>
      </c>
      <c r="BK139" s="5" t="str">
        <f>IMSUM(IMPRODUCT(BF139,AI139),IMPRODUCT(BG139,AK139))</f>
        <v>134.506314484541i</v>
      </c>
      <c r="BL139" s="5" t="str">
        <f>IMSUM(IMPRODUCT(BH139,AH139),IMPRODUCT(BI139,AJ139))</f>
        <v>2.69012628969083E-003i</v>
      </c>
      <c r="BM139" s="5" t="str">
        <f>IMSUM(IMPRODUCT(BH139,AI139),IMPRODUCT(BI139,AK139))</f>
        <v>-1.69057314851854</v>
      </c>
      <c r="BN139" s="4">
        <f t="shared" si="4"/>
        <v>500</v>
      </c>
      <c r="BO139" s="4">
        <v>1</v>
      </c>
      <c r="BP139" s="4" t="str">
        <f>IMSUM(IMPRODUCT($BJ139,$BN139),IMPRODUCT($BK139,$BO139))</f>
        <v>-188.7410278091+134.506314484541i</v>
      </c>
      <c r="BQ139" s="4" t="str">
        <f>IMSUM(IMPRODUCT($BL139,$BN139),IMPRODUCT($BM139,$BO139))</f>
        <v>-1.69057314851854+1.34506314484542i</v>
      </c>
      <c r="BR139" s="4" t="str">
        <f>IMDIV($BP139,$BQ139)</f>
        <v>107.129869158742+5.6727058757551i</v>
      </c>
      <c r="BS139" s="4" t="str">
        <f>IMDIV(IMSUB($BQ$100,$BR139),IMSUM($BQ$100,$BR139))</f>
        <v>-3.51459132010243E-002-2.64246458980581E-002i</v>
      </c>
      <c r="BT139" s="4">
        <f>IMABS($BS139)</f>
        <v>0.04397154904676083</v>
      </c>
      <c r="BU139" s="4">
        <f t="shared" si="5"/>
        <v>1.0919879507830914</v>
      </c>
      <c r="BV139" s="4">
        <f t="shared" si="6"/>
        <v>-0.008405199659849049</v>
      </c>
    </row>
    <row r="140" spans="1:74" ht="12.75">
      <c r="A140" s="5">
        <v>37</v>
      </c>
      <c r="B140" s="5">
        <f t="shared" si="1"/>
        <v>7.2</v>
      </c>
      <c r="C140" s="4">
        <f t="shared" si="7"/>
        <v>1.1309733552923256</v>
      </c>
      <c r="D140" s="4">
        <f t="shared" si="2"/>
        <v>0.9048270524660196</v>
      </c>
      <c r="E140" s="5">
        <f t="shared" si="3"/>
        <v>0.42577929156507266</v>
      </c>
      <c r="F140" s="9" t="str">
        <f>IF($B$7&gt;0,COMPLEX($E140,0),1)</f>
        <v>0.425779291565073</v>
      </c>
      <c r="G140" s="9" t="str">
        <f>IF($B$7&gt;0,COMPLEX(0,$D140*$B$16),0)</f>
        <v>108.200410998323i</v>
      </c>
      <c r="H140" s="9" t="str">
        <f>IF($B$7&gt;0,COMPLEX(0,$D140/$B$16),0)</f>
        <v>7.56662555456497E-003i</v>
      </c>
      <c r="I140" s="9" t="str">
        <f>IF($B$7&gt;0,COMPLEX($E140,0),1)</f>
        <v>0.425779291565073</v>
      </c>
      <c r="J140" s="9" t="str">
        <f>IF($B$7&gt;1,COMPLEX($E140,0),1)</f>
        <v>0.425779291565073</v>
      </c>
      <c r="K140" s="9" t="str">
        <f>IF($B$7&gt;1,COMPLEX(0,$D140*$B$17),0)</f>
        <v>129.387476958153i</v>
      </c>
      <c r="L140" s="9" t="str">
        <f>IF($B$7&gt;1,COMPLEX(0,$D140/$B$17),0)</f>
        <v>6.32759842082039E-003i</v>
      </c>
      <c r="M140" s="9" t="str">
        <f>IF($B$7&gt;1,COMPLEX($E140,0),1)</f>
        <v>0.425779291565073</v>
      </c>
      <c r="N140" s="9" t="str">
        <f>IF($B$7&gt;2,COMPLEX($E140,0),1)</f>
        <v>0.425779291565073</v>
      </c>
      <c r="O140" s="9" t="str">
        <f>IF($B$7&gt;2,COMPLEX(0,$D140*$B$18),0)</f>
        <v>154.723249561927i</v>
      </c>
      <c r="P140" s="9" t="str">
        <f>IF($B$7&gt;2,COMPLEX(0,$D140/$B$18),0)</f>
        <v>5.29146070285101E-003i</v>
      </c>
      <c r="Q140" s="9" t="str">
        <f>IF($B$7&gt;2,COMPLEX($E140,0),1)</f>
        <v>0.425779291565073</v>
      </c>
      <c r="R140" s="9" t="str">
        <f>IF($B$7&gt;3,COMPLEX($E140,0),1)</f>
        <v>0.425779291565073</v>
      </c>
      <c r="S140" s="9" t="str">
        <f>IF($B$7&gt;3,COMPLEX(0,$D140*$B$19),0)</f>
        <v>185.020100227666i</v>
      </c>
      <c r="T140" s="9" t="str">
        <f>IF($B$7&gt;3,COMPLEX(0,$D140/$B$19),0)</f>
        <v>4.42498946799254E-003i</v>
      </c>
      <c r="U140" s="9" t="str">
        <f>IF($B$7&gt;3,COMPLEX($E140,0),1)</f>
        <v>0.425779291565073</v>
      </c>
      <c r="V140" s="9" t="str">
        <f>IF($B$7&gt;4,COMPLEX($E140,0),1)</f>
        <v>0.425779291565073</v>
      </c>
      <c r="W140" s="9" t="str">
        <f>IF($B$7&gt;4,COMPLEX(0,$D140*$B$20),0)</f>
        <v>221.249473399627i</v>
      </c>
      <c r="X140" s="9" t="str">
        <f>IF($B$7&gt;4,COMPLEX(0,$D140/$B$20),0)</f>
        <v>3.70040200455331E-003i</v>
      </c>
      <c r="Y140" s="9" t="str">
        <f>IF($B$7&gt;4,COMPLEX($E140,0),1)</f>
        <v>0.425779291565073</v>
      </c>
      <c r="Z140" s="9" t="str">
        <f>IF($B$7&gt;5,COMPLEX($E140,0),1)</f>
        <v>0.425779291565073</v>
      </c>
      <c r="AA140" s="9" t="str">
        <f>IF($B$7&gt;5,COMPLEX(0,$D140*$B$21),0)</f>
        <v>264.57303514255i</v>
      </c>
      <c r="AB140" s="9" t="str">
        <f>IF($B$7&gt;5,COMPLEX(0,$D140/$B$21),0)</f>
        <v>3.09446499123854E-003i</v>
      </c>
      <c r="AC140" s="9" t="str">
        <f>IF($B$7&gt;5,COMPLEX($E140,0),1)</f>
        <v>0.425779291565073</v>
      </c>
      <c r="AD140" s="9" t="str">
        <f>IF($B$7&gt;6,COMPLEX($E140,0),1)</f>
        <v>0.425779291565073</v>
      </c>
      <c r="AE140" s="9" t="str">
        <f>IF($B$7&gt;6,COMPLEX(0,$D140*$B$22),0)</f>
        <v>316.37992104102i</v>
      </c>
      <c r="AF140" s="9" t="str">
        <f>IF($B$7&gt;6,COMPLEX(0,$D140/$B$22),0)</f>
        <v>2.58774953916306E-003i</v>
      </c>
      <c r="AG140" s="9" t="str">
        <f>IF($B$7&gt;6,COMPLEX($E140,0),1)</f>
        <v>0.425779291565073</v>
      </c>
      <c r="AH140" s="9" t="str">
        <f>IF($B$7&gt;7,COMPLEX($E140,0),1)</f>
        <v>0.425779291565073</v>
      </c>
      <c r="AI140" s="9" t="str">
        <f>IF($B$7&gt;7,COMPLEX(0,$D140*$B$23),0)</f>
        <v>378.331277728248i</v>
      </c>
      <c r="AJ140" s="9" t="str">
        <f>IF($B$7&gt;7,COMPLEX(0,$D140/$B$23),0)</f>
        <v>2.16400821996647E-003i</v>
      </c>
      <c r="AK140" s="9" t="str">
        <f>IF($B$7&gt;7,COMPLEX($E140,0),1)</f>
        <v>0.425779291565073</v>
      </c>
      <c r="AL140" s="4" t="str">
        <f>IMSUM(IMPRODUCT(F140,J140),IMPRODUCT(G140,L140))</f>
        <v>-0.503360744639451</v>
      </c>
      <c r="AM140" s="5" t="str">
        <f>IMSUM(IMPRODUCT(F140,K140),IMPRODUCT(G140,M140))</f>
        <v>101.16000261855i</v>
      </c>
      <c r="AN140" s="5" t="str">
        <f>IMSUM(IMPRODUCT(H140,J140),IMPRODUCT(I140,L140))</f>
        <v>5.91587284108603E-003i</v>
      </c>
      <c r="AO140" s="5" t="str">
        <f>IMSUM(IMPRODUCT(H140,K140),IMPRODUCT(I140,M140))</f>
        <v>-0.797738584466592</v>
      </c>
      <c r="AP140" s="4" t="str">
        <f>IMSUM(IMPRODUCT(AL140,N140),IMPRODUCT(AM140,P140))</f>
        <v>-0.749604759810616</v>
      </c>
      <c r="AQ140" s="5" t="str">
        <f>IMSUM(IMPRODUCT(AL140,O140),IMPRODUCT(AM140,Q140))</f>
        <v>-34.8097758628801i</v>
      </c>
      <c r="AR140" s="5" t="str">
        <f>IMSUM(IMPRODUCT(AN140,N140),IMPRODUCT(AO140,P140))</f>
        <v>-1.70234622358629E-003i</v>
      </c>
      <c r="AS140" s="5" t="str">
        <f>IMSUM(IMPRODUCT(AN140,O140),IMPRODUCT(AO140,Q140))</f>
        <v>-1.25498363931629</v>
      </c>
      <c r="AT140" s="4" t="str">
        <f>IMSUM(IMPRODUCT(AP140,R140),IMPRODUCT(AQ140,T140))</f>
        <v>-0.165133292009546</v>
      </c>
      <c r="AU140" s="5" t="str">
        <f>IMSUM(IMPRODUCT(AP140,S140),IMPRODUCT(AQ140,U140))</f>
        <v>-153.513229497732i</v>
      </c>
      <c r="AV140" s="5" t="str">
        <f>IMSUM(IMPRODUCT(AR140,R140),IMPRODUCT(AS140,T140))</f>
        <v>-6.27811315555458E-003i</v>
      </c>
      <c r="AW140" s="5" t="str">
        <f>IMSUM(IMPRODUCT(AR140,S140),IMPRODUCT(AS140,U140))</f>
        <v>-0.219377775963723</v>
      </c>
      <c r="AX140" s="4" t="str">
        <f>IMSUM(IMPRODUCT(AT140,V140),IMPRODUCT(AU140,X140))</f>
        <v>0.497750326073227</v>
      </c>
      <c r="AY140" s="5" t="str">
        <f>IMSUM(IMPRODUCT(AT140,W140),IMPRODUCT(AU140,Y140))</f>
        <v>-101.89840799927i</v>
      </c>
      <c r="AZ140" s="5" t="str">
        <f>IMSUM(IMPRODUCT(AV140,V140),IMPRODUCT(AW140,X140))</f>
        <v>-3.484876533668E-003i</v>
      </c>
      <c r="BA140" s="5" t="str">
        <f>IMSUM(IMPRODUCT(AV140,W140),IMPRODUCT(AW140,Y140))</f>
        <v>1.29562271557476</v>
      </c>
      <c r="BB140" s="4" t="str">
        <f>IMSUM(IMPRODUCT(AX140,Z140),IMPRODUCT(AY140,AB140))</f>
        <v>0.527252837428425</v>
      </c>
      <c r="BC140" s="5" t="str">
        <f>IMSUM(IMPRODUCT(AX140,AA140),IMPRODUCT(AY140,AC140))</f>
        <v>88.30508254285i</v>
      </c>
      <c r="BD140" s="5" t="str">
        <f>IMSUM(IMPRODUCT(AZ140,Z140),IMPRODUCT(BA140,AB140))</f>
        <v>2.52547087350259E-003i</v>
      </c>
      <c r="BE140" s="5" t="str">
        <f>IMSUM(IMPRODUCT(AZ140,AA140),IMPRODUCT(BA140,AC140))</f>
        <v>1.47365368358263</v>
      </c>
      <c r="BF140" s="4" t="str">
        <f>IMSUM(IMPRODUCT(BB140,AD140),IMPRODUCT(BC140,AF140))</f>
        <v>-4.01809706006701E-003</v>
      </c>
      <c r="BG140" s="5" t="str">
        <f>IMSUM(IMPRODUCT(BB140,AE140),IMPRODUCT(BC140,AG140))</f>
        <v>204.410686560949i</v>
      </c>
      <c r="BH140" s="5" t="str">
        <f>IMSUM(IMPRODUCT(BD140,AD140),IMPRODUCT(BE140,AF140))</f>
        <v>4.88873983996506E-003i</v>
      </c>
      <c r="BI140" s="5" t="str">
        <f>IMSUM(IMPRODUCT(BD140,AE140),IMPRODUCT(BE140,AG140))</f>
        <v>-0.171557054142073</v>
      </c>
      <c r="BJ140" s="4" t="str">
        <f>IMSUM(IMPRODUCT(BF140,AH140),IMPRODUCT(BG140,AJ140))</f>
        <v>-0.444057228486558</v>
      </c>
      <c r="BK140" s="5" t="str">
        <f>IMSUM(IMPRODUCT(BF140,AI140),IMPRODUCT(BG140,AK140))</f>
        <v>85.5136655174798i</v>
      </c>
      <c r="BL140" s="5" t="str">
        <f>IMSUM(IMPRODUCT(BH140,AH140),IMPRODUCT(BI140,AJ140))</f>
        <v>1.71027331034959E-003i</v>
      </c>
      <c r="BM140" s="5" t="str">
        <f>IMSUM(IMPRODUCT(BH140,AI140),IMPRODUCT(BI140,AK140))</f>
        <v>-1.92260863111057</v>
      </c>
      <c r="BN140" s="4">
        <f t="shared" si="4"/>
        <v>500</v>
      </c>
      <c r="BO140" s="4">
        <v>1</v>
      </c>
      <c r="BP140" s="4" t="str">
        <f>IMSUM(IMPRODUCT($BJ140,$BN140),IMPRODUCT($BK140,$BO140))</f>
        <v>-222.028614243279+85.5136655174798i</v>
      </c>
      <c r="BQ140" s="4" t="str">
        <f>IMSUM(IMPRODUCT($BL140,$BN140),IMPRODUCT($BM140,$BO140))</f>
        <v>-1.92260863111057+0.855136655174795i</v>
      </c>
      <c r="BR140" s="4" t="str">
        <f>IMDIV($BP140,$BQ140)</f>
        <v>112.925889186885+5.74916884568864i</v>
      </c>
      <c r="BS140" s="4" t="str">
        <f>IMDIV(IMSUB($BQ$100,$BR140),IMSUM($BQ$100,$BR140))</f>
        <v>-6.13903345811727E-002-2.53432096364378E-002i</v>
      </c>
      <c r="BT140" s="4">
        <f>IMABS($BS140)</f>
        <v>0.06641574703837007</v>
      </c>
      <c r="BU140" s="4">
        <f t="shared" si="5"/>
        <v>1.1422812067098989</v>
      </c>
      <c r="BV140" s="4">
        <f t="shared" si="6"/>
        <v>-0.019199328874867107</v>
      </c>
    </row>
    <row r="141" spans="1:74" ht="12.75">
      <c r="A141" s="5">
        <v>38</v>
      </c>
      <c r="B141" s="5">
        <f t="shared" si="1"/>
        <v>7.4</v>
      </c>
      <c r="C141" s="4">
        <f t="shared" si="7"/>
        <v>1.1623892818282235</v>
      </c>
      <c r="D141" s="4">
        <f t="shared" si="2"/>
        <v>0.9177546256839811</v>
      </c>
      <c r="E141" s="5">
        <f t="shared" si="3"/>
        <v>0.39714789063478056</v>
      </c>
      <c r="F141" s="9" t="str">
        <f>IF($B$7&gt;0,COMPLEX($E141,0),1)</f>
        <v>0.397147890634781</v>
      </c>
      <c r="G141" s="9" t="str">
        <f>IF($B$7&gt;0,COMPLEX(0,$D141*$B$16),0)</f>
        <v>109.746307235159i</v>
      </c>
      <c r="H141" s="9" t="str">
        <f>IF($B$7&gt;0,COMPLEX(0,$D141/$B$16),0)</f>
        <v>7.67473251887703E-003i</v>
      </c>
      <c r="I141" s="9" t="str">
        <f>IF($B$7&gt;0,COMPLEX($E141,0),1)</f>
        <v>0.397147890634781</v>
      </c>
      <c r="J141" s="9" t="str">
        <f>IF($B$7&gt;1,COMPLEX($E141,0),1)</f>
        <v>0.397147890634781</v>
      </c>
      <c r="K141" s="9" t="str">
        <f>IF($B$7&gt;1,COMPLEX(0,$D141*$B$17),0)</f>
        <v>131.236080044572i</v>
      </c>
      <c r="L141" s="9" t="str">
        <f>IF($B$7&gt;1,COMPLEX(0,$D141/$B$17),0)</f>
        <v>6.41800298117927E-003i</v>
      </c>
      <c r="M141" s="9" t="str">
        <f>IF($B$7&gt;1,COMPLEX($E141,0),1)</f>
        <v>0.397147890634781</v>
      </c>
      <c r="N141" s="9" t="str">
        <f>IF($B$7&gt;2,COMPLEX($E141,0),1)</f>
        <v>0.397147890634781</v>
      </c>
      <c r="O141" s="9" t="str">
        <f>IF($B$7&gt;2,COMPLEX(0,$D141*$B$18),0)</f>
        <v>156.933833487088i</v>
      </c>
      <c r="P141" s="9" t="str">
        <f>IF($B$7&gt;2,COMPLEX(0,$D141/$B$18),0)</f>
        <v>5.36706160965374E-003i</v>
      </c>
      <c r="Q141" s="9" t="str">
        <f>IF($B$7&gt;2,COMPLEX($E141,0),1)</f>
        <v>0.397147890634781</v>
      </c>
      <c r="R141" s="9" t="str">
        <f>IF($B$7&gt;3,COMPLEX($E141,0),1)</f>
        <v>0.397147890634781</v>
      </c>
      <c r="S141" s="9" t="str">
        <f>IF($B$7&gt;3,COMPLEX(0,$D141*$B$19),0)</f>
        <v>187.663545608713i</v>
      </c>
      <c r="T141" s="9" t="str">
        <f>IF($B$7&gt;3,COMPLEX(0,$D141/$B$19),0)</f>
        <v>4.48821080424711E-003i</v>
      </c>
      <c r="U141" s="9" t="str">
        <f>IF($B$7&gt;3,COMPLEX($E141,0),1)</f>
        <v>0.397147890634781</v>
      </c>
      <c r="V141" s="9" t="str">
        <f>IF($B$7&gt;4,COMPLEX($E141,0),1)</f>
        <v>0.397147890634781</v>
      </c>
      <c r="W141" s="9" t="str">
        <f>IF($B$7&gt;4,COMPLEX(0,$D141*$B$20),0)</f>
        <v>224.410540212356i</v>
      </c>
      <c r="X141" s="9" t="str">
        <f>IF($B$7&gt;4,COMPLEX(0,$D141/$B$20),0)</f>
        <v>3.75327091217425E-003i</v>
      </c>
      <c r="Y141" s="9" t="str">
        <f>IF($B$7&gt;4,COMPLEX($E141,0),1)</f>
        <v>0.397147890634781</v>
      </c>
      <c r="Z141" s="9" t="str">
        <f>IF($B$7&gt;5,COMPLEX($E141,0),1)</f>
        <v>0.397147890634781</v>
      </c>
      <c r="AA141" s="9" t="str">
        <f>IF($B$7&gt;5,COMPLEX(0,$D141*$B$21),0)</f>
        <v>268.353080482687i</v>
      </c>
      <c r="AB141" s="9" t="str">
        <f>IF($B$7&gt;5,COMPLEX(0,$D141/$B$21),0)</f>
        <v>3.13867666974177E-003i</v>
      </c>
      <c r="AC141" s="9" t="str">
        <f>IF($B$7&gt;5,COMPLEX($E141,0),1)</f>
        <v>0.397147890634781</v>
      </c>
      <c r="AD141" s="9" t="str">
        <f>IF($B$7&gt;6,COMPLEX($E141,0),1)</f>
        <v>0.397147890634781</v>
      </c>
      <c r="AE141" s="9" t="str">
        <f>IF($B$7&gt;6,COMPLEX(0,$D141*$B$22),0)</f>
        <v>320.900149058964i</v>
      </c>
      <c r="AF141" s="9" t="str">
        <f>IF($B$7&gt;6,COMPLEX(0,$D141/$B$22),0)</f>
        <v>2.62472160089144E-003i</v>
      </c>
      <c r="AG141" s="9" t="str">
        <f>IF($B$7&gt;6,COMPLEX($E141,0),1)</f>
        <v>0.397147890634781</v>
      </c>
      <c r="AH141" s="9" t="str">
        <f>IF($B$7&gt;7,COMPLEX($E141,0),1)</f>
        <v>0.397147890634781</v>
      </c>
      <c r="AI141" s="9" t="str">
        <f>IF($B$7&gt;7,COMPLEX(0,$D141*$B$23),0)</f>
        <v>383.736625943852i</v>
      </c>
      <c r="AJ141" s="9" t="str">
        <f>IF($B$7&gt;7,COMPLEX(0,$D141/$B$23),0)</f>
        <v>2.19492614470318E-003i</v>
      </c>
      <c r="AK141" s="9" t="str">
        <f>IF($B$7&gt;7,COMPLEX($E141,0),1)</f>
        <v>0.397147890634781</v>
      </c>
      <c r="AL141" s="4" t="str">
        <f>IMSUM(IMPRODUCT(F141,J141),IMPRODUCT(G141,L141))</f>
        <v>-0.54662567997301</v>
      </c>
      <c r="AM141" s="5" t="str">
        <f>IMSUM(IMPRODUCT(F141,K141),IMPRODUCT(G141,M141))</f>
        <v>95.705646788279i</v>
      </c>
      <c r="AN141" s="5" t="str">
        <f>IMSUM(IMPRODUCT(H141,J141),IMPRODUCT(I141,L141))</f>
        <v>5.59690017712125E-003i</v>
      </c>
      <c r="AO141" s="5" t="str">
        <f>IMSUM(IMPRODUCT(H141,K141),IMPRODUCT(I141,M141))</f>
        <v>-0.849475364132374</v>
      </c>
      <c r="AP141" s="4" t="str">
        <f>IMSUM(IMPRODUCT(AL141,N141),IMPRODUCT(AM141,P141))</f>
        <v>-0.730749338472537</v>
      </c>
      <c r="AQ141" s="5" t="str">
        <f>IMSUM(IMPRODUCT(AL141,O141),IMPRODUCT(AM141,Q141))</f>
        <v>-47.7747676968482i</v>
      </c>
      <c r="AR141" s="5" t="str">
        <f>IMSUM(IMPRODUCT(AN141,N141),IMPRODUCT(AO141,P141))</f>
        <v>-2.33638951574436E-003i</v>
      </c>
      <c r="AS141" s="5" t="str">
        <f>IMSUM(IMPRODUCT(AN141,O141),IMPRODUCT(AO141,Q141))</f>
        <v>-1.21571034945159</v>
      </c>
      <c r="AT141" s="4" t="str">
        <f>IMSUM(IMPRODUCT(AP141,R141),IMPRODUCT(AQ141,T141))</f>
        <v>-7.579232980974E-002</v>
      </c>
      <c r="AU141" s="5" t="str">
        <f>IMSUM(IMPRODUCT(AP141,S141),IMPRODUCT(AQ141,U141))</f>
        <v>-156.108660025348i</v>
      </c>
      <c r="AV141" s="5" t="str">
        <f>IMSUM(IMPRODUCT(AR141,R141),IMPRODUCT(AS141,T141))</f>
        <v>-6.38425649312275E-003i</v>
      </c>
      <c r="AW141" s="5" t="str">
        <f>IMSUM(IMPRODUCT(AR141,S141),IMPRODUCT(AS141,U141))</f>
        <v>-4.436166045996E-002</v>
      </c>
      <c r="AX141" s="4" t="str">
        <f>IMSUM(IMPRODUCT(AT141,V141),IMPRODUCT(AU141,X141))</f>
        <v>0.555817328901404</v>
      </c>
      <c r="AY141" s="5" t="str">
        <f>IMSUM(IMPRODUCT(AT141,W141),IMPRODUCT(AU141,Y141))</f>
        <v>-79.0068227154459i</v>
      </c>
      <c r="AZ141" s="5" t="str">
        <f>IMSUM(IMPRODUCT(AV141,V141),IMPRODUCT(AW141,X141))</f>
        <v>-2.70199532933522E-003i</v>
      </c>
      <c r="BA141" s="5" t="str">
        <f>IMSUM(IMPRODUCT(AV141,W141),IMPRODUCT(AW141,Y141))</f>
        <v>1.41507630859919</v>
      </c>
      <c r="BB141" s="4" t="str">
        <f>IMSUM(IMPRODUCT(AX141,Z141),IMPRODUCT(AY141,AB141))</f>
        <v>0.468718550958845</v>
      </c>
      <c r="BC141" s="5" t="str">
        <f>IMSUM(IMPRODUCT(AX141,AA141),IMPRODUCT(AY141,AC141))</f>
        <v>117.777899409156i</v>
      </c>
      <c r="BD141" s="5" t="str">
        <f>IMSUM(IMPRODUCT(AZ141,Z141),IMPRODUCT(BA141,AB141))</f>
        <v>3.36837525015407E-003i</v>
      </c>
      <c r="BE141" s="5" t="str">
        <f>IMSUM(IMPRODUCT(AZ141,AA141),IMPRODUCT(BA141,AC141))</f>
        <v>1.28708334112436</v>
      </c>
      <c r="BF141" s="4" t="str">
        <f>IMSUM(IMPRODUCT(BB141,AD141),IMPRODUCT(BC141,AF141))</f>
        <v>-0.122983612872135</v>
      </c>
      <c r="BG141" s="5" t="str">
        <f>IMSUM(IMPRODUCT(BB141,AE141),IMPRODUCT(BC141,AG141))</f>
        <v>197.187097183137i</v>
      </c>
      <c r="BH141" s="5" t="str">
        <f>IMSUM(IMPRODUCT(BD141,AD141),IMPRODUCT(BE141,AF141))</f>
        <v>4.71597857306172E-003i</v>
      </c>
      <c r="BI141" s="5" t="str">
        <f>IMSUM(IMPRODUCT(BD141,AE141),IMPRODUCT(BE141,AG141))</f>
        <v>-0.569749685862264</v>
      </c>
      <c r="BJ141" s="4" t="str">
        <f>IMSUM(IMPRODUCT(BF141,AH141),IMPRODUCT(BG141,AJ141))</f>
        <v>-0.481653797440207</v>
      </c>
      <c r="BK141" s="5" t="str">
        <f>IMSUM(IMPRODUCT(BF141,AI141),IMPRODUCT(BG141,AK141))</f>
        <v>31.1191230567404i</v>
      </c>
      <c r="BL141" s="5" t="str">
        <f>IMSUM(IMPRODUCT(BH141,AH141),IMPRODUCT(BI141,AJ141))</f>
        <v>6.2238246113478E-004i</v>
      </c>
      <c r="BM141" s="5" t="str">
        <f>IMSUM(IMPRODUCT(BH141,AI141),IMPRODUCT(BI141,AK141))</f>
        <v>-2.03596859158024</v>
      </c>
      <c r="BN141" s="4">
        <f t="shared" si="4"/>
        <v>500</v>
      </c>
      <c r="BO141" s="4">
        <v>1</v>
      </c>
      <c r="BP141" s="4" t="str">
        <f>IMSUM(IMPRODUCT($BJ141,$BN141),IMPRODUCT($BK141,$BO141))</f>
        <v>-240.826898720103+31.1191230567404i</v>
      </c>
      <c r="BQ141" s="4" t="str">
        <f>IMSUM(IMPRODUCT($BL141,$BN141),IMPRODUCT($BM141,$BO141))</f>
        <v>-2.03596859158024+0.31119123056739i</v>
      </c>
      <c r="BR141" s="4" t="str">
        <f>IMDIV($BP141,$BQ141)</f>
        <v>117.868705019256+2.73117391230017i</v>
      </c>
      <c r="BS141" s="4" t="str">
        <f>IMDIV(IMSUB($BQ$100,$BR141),IMSUM($BQ$100,$BR141))</f>
        <v>-8.21601693098191E-002-1.15059214265283E-002i</v>
      </c>
      <c r="BT141" s="4">
        <f>IMABS($BS141)</f>
        <v>0.08296191685883099</v>
      </c>
      <c r="BU141" s="4">
        <f t="shared" si="5"/>
        <v>1.1809345072663897</v>
      </c>
      <c r="BV141" s="4">
        <f t="shared" si="6"/>
        <v>-0.02999443779099765</v>
      </c>
    </row>
    <row r="142" spans="1:74" ht="12.75">
      <c r="A142" s="5">
        <v>39</v>
      </c>
      <c r="B142" s="5">
        <f t="shared" si="1"/>
        <v>7.6000000000000005</v>
      </c>
      <c r="C142" s="4">
        <f t="shared" si="7"/>
        <v>1.1938052083641213</v>
      </c>
      <c r="D142" s="4">
        <f t="shared" si="2"/>
        <v>0.9297764858882515</v>
      </c>
      <c r="E142" s="5">
        <f t="shared" si="3"/>
        <v>0.3681245526846781</v>
      </c>
      <c r="F142" s="9" t="str">
        <f>IF($B$7&gt;0,COMPLEX($E142,0),1)</f>
        <v>0.368124552684678</v>
      </c>
      <c r="G142" s="9" t="str">
        <f>IF($B$7&gt;0,COMPLEX(0,$D142*$B$16),0)</f>
        <v>111.183897116586i</v>
      </c>
      <c r="H142" s="9" t="str">
        <f>IF($B$7&gt;0,COMPLEX(0,$D142/$B$16),0)</f>
        <v>7.77526544877466E-003i</v>
      </c>
      <c r="I142" s="9" t="str">
        <f>IF($B$7&gt;0,COMPLEX($E142,0),1)</f>
        <v>0.368124552684678</v>
      </c>
      <c r="J142" s="9" t="str">
        <f>IF($B$7&gt;1,COMPLEX($E142,0),1)</f>
        <v>0.368124552684678</v>
      </c>
      <c r="K142" s="9" t="str">
        <f>IF($B$7&gt;1,COMPLEX(0,$D142*$B$17),0)</f>
        <v>132.955168964311i</v>
      </c>
      <c r="L142" s="9" t="str">
        <f>IF($B$7&gt;1,COMPLEX(0,$D142/$B$17),0)</f>
        <v>6.50207374745062E-003i</v>
      </c>
      <c r="M142" s="9" t="str">
        <f>IF($B$7&gt;1,COMPLEX($E142,0),1)</f>
        <v>0.368124552684678</v>
      </c>
      <c r="N142" s="9" t="str">
        <f>IF($B$7&gt;2,COMPLEX($E142,0),1)</f>
        <v>0.368124552684678</v>
      </c>
      <c r="O142" s="9" t="str">
        <f>IF($B$7&gt;2,COMPLEX(0,$D142*$B$18),0)</f>
        <v>158.98954266545i</v>
      </c>
      <c r="P142" s="9" t="str">
        <f>IF($B$7&gt;2,COMPLEX(0,$D142/$B$18),0)</f>
        <v>5.43736587462094E-003i</v>
      </c>
      <c r="Q142" s="9" t="str">
        <f>IF($B$7&gt;2,COMPLEX($E142,0),1)</f>
        <v>0.368124552684678</v>
      </c>
      <c r="R142" s="9" t="str">
        <f>IF($B$7&gt;3,COMPLEX($E142,0),1)</f>
        <v>0.368124552684678</v>
      </c>
      <c r="S142" s="9" t="str">
        <f>IF($B$7&gt;3,COMPLEX(0,$D142*$B$19),0)</f>
        <v>190.121789727138i</v>
      </c>
      <c r="T142" s="9" t="str">
        <f>IF($B$7&gt;3,COMPLEX(0,$D142/$B$19),0)</f>
        <v>4.54700281830614E-003i</v>
      </c>
      <c r="U142" s="9" t="str">
        <f>IF($B$7&gt;3,COMPLEX($E142,0),1)</f>
        <v>0.368124552684678</v>
      </c>
      <c r="V142" s="9" t="str">
        <f>IF($B$7&gt;4,COMPLEX($E142,0),1)</f>
        <v>0.368124552684678</v>
      </c>
      <c r="W142" s="9" t="str">
        <f>IF($B$7&gt;4,COMPLEX(0,$D142*$B$20),0)</f>
        <v>227.350140915307i</v>
      </c>
      <c r="X142" s="9" t="str">
        <f>IF($B$7&gt;4,COMPLEX(0,$D142/$B$20),0)</f>
        <v>3.80243579454277E-003i</v>
      </c>
      <c r="Y142" s="9" t="str">
        <f>IF($B$7&gt;4,COMPLEX($E142,0),1)</f>
        <v>0.368124552684678</v>
      </c>
      <c r="Z142" s="9" t="str">
        <f>IF($B$7&gt;5,COMPLEX($E142,0),1)</f>
        <v>0.368124552684678</v>
      </c>
      <c r="AA142" s="9" t="str">
        <f>IF($B$7&gt;5,COMPLEX(0,$D142*$B$21),0)</f>
        <v>271.868293731047i</v>
      </c>
      <c r="AB142" s="9" t="str">
        <f>IF($B$7&gt;5,COMPLEX(0,$D142/$B$21),0)</f>
        <v>3.17979085330899E-003i</v>
      </c>
      <c r="AC142" s="9" t="str">
        <f>IF($B$7&gt;5,COMPLEX($E142,0),1)</f>
        <v>0.368124552684678</v>
      </c>
      <c r="AD142" s="9" t="str">
        <f>IF($B$7&gt;6,COMPLEX($E142,0),1)</f>
        <v>0.368124552684678</v>
      </c>
      <c r="AE142" s="9" t="str">
        <f>IF($B$7&gt;6,COMPLEX(0,$D142*$B$22),0)</f>
        <v>325.103687372531i</v>
      </c>
      <c r="AF142" s="9" t="str">
        <f>IF($B$7&gt;6,COMPLEX(0,$D142/$B$22),0)</f>
        <v>2.65910337928621E-003i</v>
      </c>
      <c r="AG142" s="9" t="str">
        <f>IF($B$7&gt;6,COMPLEX($E142,0),1)</f>
        <v>0.368124552684678</v>
      </c>
      <c r="AH142" s="9" t="str">
        <f>IF($B$7&gt;7,COMPLEX($E142,0),1)</f>
        <v>0.368124552684678</v>
      </c>
      <c r="AI142" s="9" t="str">
        <f>IF($B$7&gt;7,COMPLEX(0,$D142*$B$23),0)</f>
        <v>388.763272438733i</v>
      </c>
      <c r="AJ142" s="9" t="str">
        <f>IF($B$7&gt;7,COMPLEX(0,$D142/$B$23),0)</f>
        <v>2.22367794233172E-003i</v>
      </c>
      <c r="AK142" s="9" t="str">
        <f>IF($B$7&gt;7,COMPLEX($E142,0),1)</f>
        <v>0.368124552684678</v>
      </c>
      <c r="AL142" s="4" t="str">
        <f>IMSUM(IMPRODUCT(F142,J142),IMPRODUCT(G142,L142))</f>
        <v>-0.587410212291711</v>
      </c>
      <c r="AM142" s="5" t="str">
        <f>IMSUM(IMPRODUCT(F142,K142),IMPRODUCT(G142,M142))</f>
        <v>89.8735844938853i</v>
      </c>
      <c r="AN142" s="5" t="str">
        <f>IMSUM(IMPRODUCT(H142,J142),IMPRODUCT(I142,L142))</f>
        <v>5.25583910513785E-003i</v>
      </c>
      <c r="AO142" s="5" t="str">
        <f>IMSUM(IMPRODUCT(H142,K142),IMPRODUCT(I142,M142))</f>
        <v>-0.898246045194906</v>
      </c>
      <c r="AP142" s="4" t="str">
        <f>IMSUM(IMPRODUCT(AL142,N142),IMPRODUCT(AM142,P142))</f>
        <v>-0.704915682999212</v>
      </c>
      <c r="AQ142" s="5" t="str">
        <f>IMSUM(IMPRODUCT(AL142,O142),IMPRODUCT(AM142,Q142))</f>
        <v>-60.3074079192939i</v>
      </c>
      <c r="AR142" s="5" t="str">
        <f>IMSUM(IMPRODUCT(AN142,N142),IMPRODUCT(AO142,P142))</f>
        <v>-2.94928897359449E-003i</v>
      </c>
      <c r="AS142" s="5" t="str">
        <f>IMSUM(IMPRODUCT(AN142,O142),IMPRODUCT(AO142,Q142))</f>
        <v>-1.16628987923721</v>
      </c>
      <c r="AT142" s="4" t="str">
        <f>IMSUM(IMPRODUCT(AP142,R142),IMPRODUCT(AQ142,T142))</f>
        <v>1.4721183289268E-002</v>
      </c>
      <c r="AU142" s="5" t="str">
        <f>IMSUM(IMPRODUCT(AP142,S142),IMPRODUCT(AQ142,U142))</f>
        <v>-156.220468822401i</v>
      </c>
      <c r="AV142" s="5" t="str">
        <f>IMSUM(IMPRODUCT(AR142,R142),IMPRODUCT(AS142,T142))</f>
        <v>-6.38882905199584E-003i</v>
      </c>
      <c r="AW142" s="5" t="str">
        <f>IMSUM(IMPRODUCT(AR142,S142),IMPRODUCT(AS142,U142))</f>
        <v>0.131384157987433</v>
      </c>
      <c r="AX142" s="4" t="str">
        <f>IMSUM(IMPRODUCT(AT142,V142),IMPRODUCT(AU142,X142))</f>
        <v>0.599437531503901</v>
      </c>
      <c r="AY142" s="5" t="str">
        <f>IMSUM(IMPRODUCT(AT142,W142),IMPRODUCT(AU142,Y142))</f>
        <v>-54.1617271101819i</v>
      </c>
      <c r="AZ142" s="5" t="str">
        <f>IMSUM(IMPRODUCT(AV142,V142),IMPRODUCT(AW142,X142))</f>
        <v>-1.85230501177756E-003i</v>
      </c>
      <c r="BA142" s="5" t="str">
        <f>IMSUM(IMPRODUCT(AV142,W142),IMPRODUCT(AW142,Y142))</f>
        <v>1.50086691964404</v>
      </c>
      <c r="BB142" s="4" t="str">
        <f>IMSUM(IMPRODUCT(AX142,Z142),IMPRODUCT(AY142,AB142))</f>
        <v>0.392890637611655</v>
      </c>
      <c r="BC142" s="5" t="str">
        <f>IMSUM(IMPRODUCT(AX142,AA142),IMPRODUCT(AY142,AC142))</f>
        <v>143.029797323251i</v>
      </c>
      <c r="BD142" s="5" t="str">
        <f>IMSUM(IMPRODUCT(AZ142,Z142),IMPRODUCT(BA142,AB142))</f>
        <v>4.09056394922196E-003i</v>
      </c>
      <c r="BE142" s="5" t="str">
        <f>IMSUM(IMPRODUCT(AZ142,AA142),IMPRODUCT(BA142,AC142))</f>
        <v>1.05608896645463</v>
      </c>
      <c r="BF142" s="4" t="str">
        <f>IMSUM(IMPRODUCT(BB142,AD142),IMPRODUCT(BC142,AF142))</f>
        <v>-0.23569832717609</v>
      </c>
      <c r="BG142" s="5" t="str">
        <f>IMSUM(IMPRODUCT(BB142,AE142),IMPRODUCT(BC142,AG142))</f>
        <v>180.382975181896i</v>
      </c>
      <c r="BH142" s="5" t="str">
        <f>IMSUM(IMPRODUCT(BD142,AD142),IMPRODUCT(BE142,AF142))</f>
        <v>4.31408676356179E-003i</v>
      </c>
      <c r="BI142" s="5" t="str">
        <f>IMSUM(IMPRODUCT(BD142,AE142),IMPRODUCT(BE142,AG142))</f>
        <v>-0.941085144953865</v>
      </c>
      <c r="BJ142" s="4" t="str">
        <f>IMSUM(IMPRODUCT(BF142,AH142),IMPRODUCT(BG142,AJ142))</f>
        <v>-0.487879984344377</v>
      </c>
      <c r="BK142" s="5" t="str">
        <f>IMSUM(IMPRODUCT(BF142,AI142),IMPRODUCT(BG142,AK142))</f>
        <v>-25.2274509305451i</v>
      </c>
      <c r="BL142" s="5" t="str">
        <f>IMSUM(IMPRODUCT(BH142,AH142),IMPRODUCT(BI142,AJ142))</f>
        <v>-5.0454901861089E-004i</v>
      </c>
      <c r="BM142" s="5" t="str">
        <f>IMSUM(IMPRODUCT(BH142,AI142),IMPRODUCT(BI142,AK142))</f>
        <v>-2.02359503581124</v>
      </c>
      <c r="BN142" s="4">
        <f t="shared" si="4"/>
        <v>500</v>
      </c>
      <c r="BO142" s="4">
        <v>1</v>
      </c>
      <c r="BP142" s="4" t="str">
        <f>IMSUM(IMPRODUCT($BJ142,$BN142),IMPRODUCT($BK142,$BO142))</f>
        <v>-243.939992172189-25.2274509305451i</v>
      </c>
      <c r="BQ142" s="4" t="str">
        <f>IMSUM(IMPRODUCT($BL142,$BN142),IMPRODUCT($BM142,$BO142))</f>
        <v>-2.02359503581124-0.252274509305445i</v>
      </c>
      <c r="BR142" s="4" t="str">
        <f>IMDIV($BP142,$BQ142)</f>
        <v>120.233369208585-2.5224233101782i</v>
      </c>
      <c r="BS142" s="4" t="str">
        <f>IMDIV(IMSUB($BQ$100,$BR142),IMSUM($BQ$100,$BR142))</f>
        <v>-9.1991517748756E-002+1.0399794407635E-002i</v>
      </c>
      <c r="BT142" s="4">
        <f>IMABS($BS142)</f>
        <v>0.09257750839939885</v>
      </c>
      <c r="BU142" s="4">
        <f t="shared" si="5"/>
        <v>1.204044993939045</v>
      </c>
      <c r="BV142" s="4">
        <f t="shared" si="6"/>
        <v>-0.03738204441181012</v>
      </c>
    </row>
    <row r="143" spans="1:74" ht="12.75">
      <c r="A143" s="5">
        <v>40</v>
      </c>
      <c r="B143" s="5">
        <f t="shared" si="1"/>
        <v>7.800000000000001</v>
      </c>
      <c r="C143" s="4">
        <f t="shared" si="7"/>
        <v>1.2252211349000193</v>
      </c>
      <c r="D143" s="4">
        <f t="shared" si="2"/>
        <v>0.9408807689542255</v>
      </c>
      <c r="E143" s="5">
        <f t="shared" si="3"/>
        <v>0.3387379202452915</v>
      </c>
      <c r="F143" s="9" t="str">
        <f>IF($B$7&gt;0,COMPLEX($E143,0),1)</f>
        <v>0.338737920245291</v>
      </c>
      <c r="G143" s="9" t="str">
        <f>IF($B$7&gt;0,COMPLEX(0,$D143*$B$16),0)</f>
        <v>112.511761914953i</v>
      </c>
      <c r="H143" s="9" t="str">
        <f>IF($B$7&gt;0,COMPLEX(0,$D143/$B$16),0)</f>
        <v>7.86812513039351E-003i</v>
      </c>
      <c r="I143" s="9" t="str">
        <f>IF($B$7&gt;0,COMPLEX($E143,0),1)</f>
        <v>0.338737920245291</v>
      </c>
      <c r="J143" s="9" t="str">
        <f>IF($B$7&gt;1,COMPLEX($E143,0),1)</f>
        <v>0.338737920245291</v>
      </c>
      <c r="K143" s="9" t="str">
        <f>IF($B$7&gt;1,COMPLEX(0,$D143*$B$17),0)</f>
        <v>134.543047184154i</v>
      </c>
      <c r="L143" s="9" t="str">
        <f>IF($B$7&gt;1,COMPLEX(0,$D143/$B$17),0)</f>
        <v>6.57972775193812E-003i</v>
      </c>
      <c r="M143" s="9" t="str">
        <f>IF($B$7&gt;1,COMPLEX($E143,0),1)</f>
        <v>0.338737920245291</v>
      </c>
      <c r="N143" s="9" t="str">
        <f>IF($B$7&gt;2,COMPLEX($E143,0),1)</f>
        <v>0.338737920245291</v>
      </c>
      <c r="O143" s="9" t="str">
        <f>IF($B$7&gt;2,COMPLEX(0,$D143*$B$18),0)</f>
        <v>160.88834836024i</v>
      </c>
      <c r="P143" s="9" t="str">
        <f>IF($B$7&gt;2,COMPLEX(0,$D143/$B$18),0)</f>
        <v>5.50230411593103E-003i</v>
      </c>
      <c r="Q143" s="9" t="str">
        <f>IF($B$7&gt;2,COMPLEX($E143,0),1)</f>
        <v>0.338737920245291</v>
      </c>
      <c r="R143" s="9" t="str">
        <f>IF($B$7&gt;3,COMPLEX($E143,0),1)</f>
        <v>0.338737920245291</v>
      </c>
      <c r="S143" s="9" t="str">
        <f>IF($B$7&gt;3,COMPLEX(0,$D143*$B$19),0)</f>
        <v>192.392406592785i</v>
      </c>
      <c r="T143" s="9" t="str">
        <f>IF($B$7&gt;3,COMPLEX(0,$D143/$B$19),0)</f>
        <v>4.60130748954981E-003i</v>
      </c>
      <c r="U143" s="9" t="str">
        <f>IF($B$7&gt;3,COMPLEX($E143,0),1)</f>
        <v>0.338737920245291</v>
      </c>
      <c r="V143" s="9" t="str">
        <f>IF($B$7&gt;4,COMPLEX($E143,0),1)</f>
        <v>0.338737920245291</v>
      </c>
      <c r="W143" s="9" t="str">
        <f>IF($B$7&gt;4,COMPLEX(0,$D143*$B$20),0)</f>
        <v>230.065374477491i</v>
      </c>
      <c r="X143" s="9" t="str">
        <f>IF($B$7&gt;4,COMPLEX(0,$D143/$B$20),0)</f>
        <v>3.8478481318557E-003i</v>
      </c>
      <c r="Y143" s="9" t="str">
        <f>IF($B$7&gt;4,COMPLEX($E143,0),1)</f>
        <v>0.338737920245291</v>
      </c>
      <c r="Z143" s="9" t="str">
        <f>IF($B$7&gt;5,COMPLEX($E143,0),1)</f>
        <v>0.338737920245291</v>
      </c>
      <c r="AA143" s="9" t="str">
        <f>IF($B$7&gt;5,COMPLEX(0,$D143*$B$21),0)</f>
        <v>275.115205796552i</v>
      </c>
      <c r="AB143" s="9" t="str">
        <f>IF($B$7&gt;5,COMPLEX(0,$D143/$B$21),0)</f>
        <v>3.2177669672048E-003i</v>
      </c>
      <c r="AC143" s="9" t="str">
        <f>IF($B$7&gt;5,COMPLEX($E143,0),1)</f>
        <v>0.338737920245291</v>
      </c>
      <c r="AD143" s="9" t="str">
        <f>IF($B$7&gt;6,COMPLEX($E143,0),1)</f>
        <v>0.338737920245291</v>
      </c>
      <c r="AE143" s="9" t="str">
        <f>IF($B$7&gt;6,COMPLEX(0,$D143*$B$22),0)</f>
        <v>328.986387596906i</v>
      </c>
      <c r="AF143" s="9" t="str">
        <f>IF($B$7&gt;6,COMPLEX(0,$D143/$B$22),0)</f>
        <v>2.69086094368307E-003i</v>
      </c>
      <c r="AG143" s="9" t="str">
        <f>IF($B$7&gt;6,COMPLEX($E143,0),1)</f>
        <v>0.338737920245291</v>
      </c>
      <c r="AH143" s="9" t="str">
        <f>IF($B$7&gt;7,COMPLEX($E143,0),1)</f>
        <v>0.338737920245291</v>
      </c>
      <c r="AI143" s="9" t="str">
        <f>IF($B$7&gt;7,COMPLEX(0,$D143*$B$23),0)</f>
        <v>393.406256519676i</v>
      </c>
      <c r="AJ143" s="9" t="str">
        <f>IF($B$7&gt;7,COMPLEX(0,$D143/$B$23),0)</f>
        <v>2.25023523829906E-003i</v>
      </c>
      <c r="AK143" s="9" t="str">
        <f>IF($B$7&gt;7,COMPLEX($E143,0),1)</f>
        <v>0.338737920245291</v>
      </c>
      <c r="AL143" s="4" t="str">
        <f>IMSUM(IMPRODUCT(F143,J143),IMPRODUCT(G143,L143))</f>
        <v>-0.625553383679166</v>
      </c>
      <c r="AM143" s="5" t="str">
        <f>IMSUM(IMPRODUCT(F143,K143),IMPRODUCT(G143,M143))</f>
        <v>83.6868322208289i</v>
      </c>
      <c r="AN143" s="5" t="str">
        <f>IMSUM(IMPRODUCT(H143,J143),IMPRODUCT(I143,L143))</f>
        <v>4.89403563737095E-003i</v>
      </c>
      <c r="AO143" s="5" t="str">
        <f>IMSUM(IMPRODUCT(H143,K143),IMPRODUCT(I143,M143))</f>
        <v>-0.943858152057255</v>
      </c>
      <c r="AP143" s="4" t="str">
        <f>IMSUM(IMPRODUCT(AL143,N143),IMPRODUCT(AM143,P143))</f>
        <v>-0.672369053567781</v>
      </c>
      <c r="AQ143" s="5" t="str">
        <f>IMSUM(IMPRODUCT(AL143,O143),IMPRODUCT(AM143,Q143))</f>
        <v>-72.2963472129008i</v>
      </c>
      <c r="AR143" s="5" t="str">
        <f>IMSUM(IMPRODUCT(AN143,N143),IMPRODUCT(AO143,P143))</f>
        <v>-3.53559914151032E-003i</v>
      </c>
      <c r="AS143" s="5" t="str">
        <f>IMSUM(IMPRODUCT(AN143,O143),IMPRODUCT(AO143,Q143))</f>
        <v>-1.1071138579472</v>
      </c>
      <c r="AT143" s="4" t="str">
        <f>IMSUM(IMPRODUCT(AP143,R143),IMPRODUCT(AQ143,T143))</f>
        <v>0.104900829054969</v>
      </c>
      <c r="AU143" s="5" t="str">
        <f>IMSUM(IMPRODUCT(AP143,S143),IMPRODUCT(AQ143,U143))</f>
        <v>-153.848214630649i</v>
      </c>
      <c r="AV143" s="5" t="str">
        <f>IMSUM(IMPRODUCT(AR143,R143),IMPRODUCT(AS143,T143))</f>
        <v>-6.29181278637308E-003i</v>
      </c>
      <c r="AW143" s="5" t="str">
        <f>IMSUM(IMPRODUCT(AR143,S143),IMPRODUCT(AS143,U143))</f>
        <v>0.30520098186678</v>
      </c>
      <c r="AX143" s="4" t="str">
        <f>IMSUM(IMPRODUCT(AT143,V143),IMPRODUCT(AU143,X143))</f>
        <v>0.627518453921965</v>
      </c>
      <c r="AY143" s="5" t="str">
        <f>IMSUM(IMPRODUCT(AT143,W143),IMPRODUCT(AU143,Y143))</f>
        <v>-27.9801757379065i</v>
      </c>
      <c r="AZ143" s="5" t="str">
        <f>IMSUM(IMPRODUCT(AV143,V143),IMPRODUCT(AW143,X143))</f>
        <v>-9.5690854991214E-004i</v>
      </c>
      <c r="BA143" s="5" t="str">
        <f>IMSUM(IMPRODUCT(AV143,W143),IMPRODUCT(AW143,Y143))</f>
        <v>1.55091141069356</v>
      </c>
      <c r="BB143" s="4" t="str">
        <f>IMSUM(IMPRODUCT(AX143,Z143),IMPRODUCT(AY143,AB143))</f>
        <v>0.302597981223088</v>
      </c>
      <c r="BC143" s="5" t="str">
        <f>IMSUM(IMPRODUCT(AX143,AA143),IMPRODUCT(AY143,AC143))</f>
        <v>163.16192205432i</v>
      </c>
      <c r="BD143" s="5" t="str">
        <f>IMSUM(IMPRODUCT(AZ143,Z143),IMPRODUCT(BA143,AB143))</f>
        <v>4.66633029432855E-003i</v>
      </c>
      <c r="BE143" s="5" t="str">
        <f>IMSUM(IMPRODUCT(AZ143,AA143),IMPRODUCT(BA143,AC143))</f>
        <v>0.788612598380586</v>
      </c>
      <c r="BF143" s="4" t="str">
        <f>IMSUM(IMPRODUCT(BB143,AD143),IMPRODUCT(BC143,AF143))</f>
        <v>-0.336544632722299</v>
      </c>
      <c r="BG143" s="5" t="str">
        <f>IMSUM(IMPRODUCT(BB143,AE143),IMPRODUCT(BC143,AG143))</f>
        <v>154.819746876605i</v>
      </c>
      <c r="BH143" s="5" t="str">
        <f>IMSUM(IMPRODUCT(BD143,AD143),IMPRODUCT(BE143,AF143))</f>
        <v>3.70270985975719E-003i</v>
      </c>
      <c r="BI143" s="5" t="str">
        <f>IMSUM(IMPRODUCT(BD143,AE143),IMPRODUCT(BE143,AG143))</f>
        <v>-1.26802615541049</v>
      </c>
      <c r="BJ143" s="4" t="str">
        <f>IMSUM(IMPRODUCT(BF143,AH143),IMPRODUCT(BG143,AJ143))</f>
        <v>-0.462381278964344</v>
      </c>
      <c r="BK143" s="5" t="str">
        <f>IMSUM(IMPRODUCT(BF143,AI143),IMPRODUCT(BG143,AK143))</f>
        <v>-79.9554450411854i</v>
      </c>
      <c r="BL143" s="5" t="str">
        <f>IMSUM(IMPRODUCT(BH143,AH143),IMPRODUCT(BI143,AJ143))</f>
        <v>-1.59910890082368E-003i</v>
      </c>
      <c r="BM143" s="5" t="str">
        <f>IMSUM(IMPRODUCT(BH143,AI143),IMPRODUCT(BI143,AK143))</f>
        <v>-1.88619776760595</v>
      </c>
      <c r="BN143" s="4">
        <f t="shared" si="4"/>
        <v>500</v>
      </c>
      <c r="BO143" s="4">
        <v>1</v>
      </c>
      <c r="BP143" s="4" t="str">
        <f>IMSUM(IMPRODUCT($BJ143,$BN143),IMPRODUCT($BK143,$BO143))</f>
        <v>-231.190639482172-79.9554450411854i</v>
      </c>
      <c r="BQ143" s="4" t="str">
        <f>IMSUM(IMPRODUCT($BL143,$BN143),IMPRODUCT($BM143,$BO143))</f>
        <v>-1.88619776760595-0.79955445041184i</v>
      </c>
      <c r="BR143" s="4" t="str">
        <f>IMDIV($BP143,$BQ143)</f>
        <v>119.131881092496-8.10995587788738i</v>
      </c>
      <c r="BS143" s="4" t="str">
        <f>IMDIV(IMSUB($BQ$100,$BR143),IMSUM($BQ$100,$BR143))</f>
        <v>-8.85560172295918E-002+3.37320633062693E-002i</v>
      </c>
      <c r="BT143" s="4">
        <f>IMABS($BS143)</f>
        <v>0.09476296894075197</v>
      </c>
      <c r="BU143" s="4">
        <f t="shared" si="5"/>
        <v>1.2093660901827372</v>
      </c>
      <c r="BV143" s="4">
        <f t="shared" si="6"/>
        <v>-0.039175897189565906</v>
      </c>
    </row>
    <row r="144" spans="1:74" ht="12.75">
      <c r="A144" s="5">
        <v>41</v>
      </c>
      <c r="B144" s="5">
        <f t="shared" si="1"/>
        <v>8</v>
      </c>
      <c r="C144" s="4">
        <f t="shared" si="7"/>
        <v>1.2566370614359172</v>
      </c>
      <c r="D144" s="4">
        <f t="shared" si="2"/>
        <v>0.9510565162951535</v>
      </c>
      <c r="E144" s="5">
        <f t="shared" si="3"/>
        <v>0.30901699437494745</v>
      </c>
      <c r="F144" s="9" t="str">
        <f>IF($B$7&gt;0,COMPLEX($E144,0),1)</f>
        <v>0.309016994374947</v>
      </c>
      <c r="G144" s="9" t="str">
        <f>IF($B$7&gt;0,COMPLEX(0,$D144*$B$16),0)</f>
        <v>113.72859118802i</v>
      </c>
      <c r="H144" s="9" t="str">
        <f>IF($B$7&gt;0,COMPLEX(0,$D144/$B$16),0)</f>
        <v>7.95321992243893E-003i</v>
      </c>
      <c r="I144" s="9" t="str">
        <f>IF($B$7&gt;0,COMPLEX($E144,0),1)</f>
        <v>0.309016994374947</v>
      </c>
      <c r="J144" s="9" t="str">
        <f>IF($B$7&gt;1,COMPLEX($E144,0),1)</f>
        <v>0.309016994374947</v>
      </c>
      <c r="K144" s="9" t="str">
        <f>IF($B$7&gt;1,COMPLEX(0,$D144*$B$17),0)</f>
        <v>135.998147660005i</v>
      </c>
      <c r="L144" s="9" t="str">
        <f>IF($B$7&gt;1,COMPLEX(0,$D144/$B$17),0)</f>
        <v>6.6508883595146E-003i</v>
      </c>
      <c r="M144" s="9" t="str">
        <f>IF($B$7&gt;1,COMPLEX($E144,0),1)</f>
        <v>0.309016994374947</v>
      </c>
      <c r="N144" s="9" t="str">
        <f>IF($B$7&gt;2,COMPLEX($E144,0),1)</f>
        <v>0.309016994374947</v>
      </c>
      <c r="O144" s="9" t="str">
        <f>IF($B$7&gt;2,COMPLEX(0,$D144*$B$18),0)</f>
        <v>162.628376679485i</v>
      </c>
      <c r="P144" s="9" t="str">
        <f>IF($B$7&gt;2,COMPLEX(0,$D144/$B$18),0)</f>
        <v>5.56181224737993E-003i</v>
      </c>
      <c r="Q144" s="9" t="str">
        <f>IF($B$7&gt;2,COMPLEX($E144,0),1)</f>
        <v>0.309016994374947</v>
      </c>
      <c r="R144" s="9" t="str">
        <f>IF($B$7&gt;3,COMPLEX($E144,0),1)</f>
        <v>0.309016994374947</v>
      </c>
      <c r="S144" s="9" t="str">
        <f>IF($B$7&gt;3,COMPLEX(0,$D144*$B$19),0)</f>
        <v>194.473155380942i</v>
      </c>
      <c r="T144" s="9" t="str">
        <f>IF($B$7&gt;3,COMPLEX(0,$D144/$B$19),0)</f>
        <v>4.65107122582388E-003i</v>
      </c>
      <c r="U144" s="9" t="str">
        <f>IF($B$7&gt;3,COMPLEX($E144,0),1)</f>
        <v>0.309016994374947</v>
      </c>
      <c r="V144" s="9" t="str">
        <f>IF($B$7&gt;4,COMPLEX($E144,0),1)</f>
        <v>0.309016994374947</v>
      </c>
      <c r="W144" s="9" t="str">
        <f>IF($B$7&gt;4,COMPLEX(0,$D144*$B$20),0)</f>
        <v>232.553561291194i</v>
      </c>
      <c r="X144" s="9" t="str">
        <f>IF($B$7&gt;4,COMPLEX(0,$D144/$B$20),0)</f>
        <v>3.88946310761883E-003i</v>
      </c>
      <c r="Y144" s="9" t="str">
        <f>IF($B$7&gt;4,COMPLEX($E144,0),1)</f>
        <v>0.309016994374947</v>
      </c>
      <c r="Z144" s="9" t="str">
        <f>IF($B$7&gt;5,COMPLEX($E144,0),1)</f>
        <v>0.309016994374947</v>
      </c>
      <c r="AA144" s="9" t="str">
        <f>IF($B$7&gt;5,COMPLEX(0,$D144*$B$21),0)</f>
        <v>278.090612368996i</v>
      </c>
      <c r="AB144" s="9" t="str">
        <f>IF($B$7&gt;5,COMPLEX(0,$D144/$B$21),0)</f>
        <v>3.25256753358969E-003i</v>
      </c>
      <c r="AC144" s="9" t="str">
        <f>IF($B$7&gt;5,COMPLEX($E144,0),1)</f>
        <v>0.309016994374947</v>
      </c>
      <c r="AD144" s="9" t="str">
        <f>IF($B$7&gt;6,COMPLEX($E144,0),1)</f>
        <v>0.309016994374947</v>
      </c>
      <c r="AE144" s="9" t="str">
        <f>IF($B$7&gt;6,COMPLEX(0,$D144*$B$22),0)</f>
        <v>332.54441797573i</v>
      </c>
      <c r="AF144" s="9" t="str">
        <f>IF($B$7&gt;6,COMPLEX(0,$D144/$B$22),0)</f>
        <v>2.71996295320009E-003i</v>
      </c>
      <c r="AG144" s="9" t="str">
        <f>IF($B$7&gt;6,COMPLEX($E144,0),1)</f>
        <v>0.309016994374947</v>
      </c>
      <c r="AH144" s="9" t="str">
        <f>IF($B$7&gt;7,COMPLEX($E144,0),1)</f>
        <v>0.309016994374947</v>
      </c>
      <c r="AI144" s="9" t="str">
        <f>IF($B$7&gt;7,COMPLEX(0,$D144*$B$23),0)</f>
        <v>397.660996121946i</v>
      </c>
      <c r="AJ144" s="9" t="str">
        <f>IF($B$7&gt;7,COMPLEX(0,$D144/$B$23),0)</f>
        <v>2.2745718237604E-003i</v>
      </c>
      <c r="AK144" s="9" t="str">
        <f>IF($B$7&gt;7,COMPLEX($E144,0),1)</f>
        <v>0.309016994374947</v>
      </c>
      <c r="AL144" s="4" t="str">
        <f>IMSUM(IMPRODUCT(F144,J144),IMPRODUCT(G144,L144))</f>
        <v>-0.660904660463871</v>
      </c>
      <c r="AM144" s="5" t="str">
        <f>IMSUM(IMPRODUCT(F144,K144),IMPRODUCT(G144,M144))</f>
        <v>77.169806253874i</v>
      </c>
      <c r="AN144" s="5" t="str">
        <f>IMSUM(IMPRODUCT(H144,J144),IMPRODUCT(I144,L144))</f>
        <v>4.51291764681555E-003i</v>
      </c>
      <c r="AO144" s="5" t="str">
        <f>IMSUM(IMPRODUCT(H144,K144),IMPRODUCT(I144,M144))</f>
        <v>-0.986131674571814</v>
      </c>
      <c r="AP144" s="4" t="str">
        <f>IMSUM(IMPRODUCT(AL144,N144),IMPRODUCT(AM144,P144))</f>
        <v>-0.633434745295673</v>
      </c>
      <c r="AQ144" s="5" t="str">
        <f>IMSUM(IMPRODUCT(AL144,O144),IMPRODUCT(AM144,Q144))</f>
        <v>-83.6350704860769i</v>
      </c>
      <c r="AR144" s="5" t="str">
        <f>IMSUM(IMPRODUCT(AN144,N144),IMPRODUCT(AO144,P144))</f>
        <v>-4.09011097808219E-003i</v>
      </c>
      <c r="AS144" s="5" t="str">
        <f>IMSUM(IMPRODUCT(AN144,O144),IMPRODUCT(AO144,Q144))</f>
        <v>-1.03865991712393</v>
      </c>
      <c r="AT144" s="4" t="str">
        <f>IMSUM(IMPRODUCT(AP144,R144),IMPRODUCT(AQ144,T144))</f>
        <v>0.193250568683615</v>
      </c>
      <c r="AU144" s="5" t="str">
        <f>IMSUM(IMPRODUCT(AP144,S144),IMPRODUCT(AQ144,U144))</f>
        <v>-149.030711751517i</v>
      </c>
      <c r="AV144" s="5" t="str">
        <f>IMSUM(IMPRODUCT(AR144,R144),IMPRODUCT(AS144,T144))</f>
        <v>-6.09479505505866E-003i</v>
      </c>
      <c r="AW144" s="5" t="str">
        <f>IMSUM(IMPRODUCT(AR144,S144),IMPRODUCT(AS144,U144))</f>
        <v>0.474453221998506</v>
      </c>
      <c r="AX144" s="4" t="str">
        <f>IMSUM(IMPRODUCT(AT144,V144),IMPRODUCT(AU144,X144))</f>
        <v>0.639367165155561</v>
      </c>
      <c r="AY144" s="5" t="str">
        <f>IMSUM(IMPRODUCT(AT144,W144),IMPRODUCT(AU144,Y144))</f>
        <v>-1.1119146460897i</v>
      </c>
      <c r="AZ144" s="5" t="str">
        <f>IMSUM(IMPRODUCT(AV144,V144),IMPRODUCT(AW144,X144))</f>
        <v>-3.80269459914399E-005i</v>
      </c>
      <c r="BA144" s="5" t="str">
        <f>IMSUM(IMPRODUCT(AV144,W144),IMPRODUCT(AW144,Y144))</f>
        <v>1.56398040402734</v>
      </c>
      <c r="BB144" s="4" t="str">
        <f>IMSUM(IMPRODUCT(AX144,Z144),IMPRODUCT(AY144,AB144))</f>
        <v>0.201191897156396</v>
      </c>
      <c r="BC144" s="5" t="str">
        <f>IMSUM(IMPRODUCT(AX144,AA144),IMPRODUCT(AY144,AC144))</f>
        <v>177.458405964803i</v>
      </c>
      <c r="BD144" s="5" t="str">
        <f>IMSUM(IMPRODUCT(AZ144,Z144),IMPRODUCT(BA144,AB144))</f>
        <v>5.07520091275428E-003i</v>
      </c>
      <c r="BE144" s="5" t="str">
        <f>IMSUM(IMPRODUCT(AZ144,AA144),IMPRODUCT(BA144,AC144))</f>
        <v>0.493871460411126</v>
      </c>
      <c r="BF144" s="4" t="str">
        <f>IMSUM(IMPRODUCT(BB144,AD144),IMPRODUCT(BC144,AF144))</f>
        <v>-0.420508574606343</v>
      </c>
      <c r="BG144" s="5" t="str">
        <f>IMSUM(IMPRODUCT(BB144,AE144),IMPRODUCT(BC144,AG144))</f>
        <v>121.742905579119i</v>
      </c>
      <c r="BH144" s="5" t="str">
        <f>IMSUM(IMPRODUCT(BD144,AD144),IMPRODUCT(BE144,AF144))</f>
        <v>2.91163540786941E-003i</v>
      </c>
      <c r="BI144" s="5" t="str">
        <f>IMSUM(IMPRODUCT(BD144,AE144),IMPRODUCT(BE144,AG144))</f>
        <v>-1.53511505933796</v>
      </c>
      <c r="BJ144" s="4" t="str">
        <f>IMSUM(IMPRODUCT(BF144,AH144),IMPRODUCT(BG144,AJ144))</f>
        <v>-0.406857278606732</v>
      </c>
      <c r="BK144" s="5" t="str">
        <f>IMSUM(IMPRODUCT(BF144,AI144),IMPRODUCT(BG144,AK144))</f>
        <v>-129.599231887246i</v>
      </c>
      <c r="BL144" s="5" t="str">
        <f>IMSUM(IMPRODUCT(BH144,AH144),IMPRODUCT(BI144,AJ144))</f>
        <v>-2.59198463774492E-003i</v>
      </c>
      <c r="BM144" s="5" t="str">
        <f>IMSUM(IMPRODUCT(BH144,AI144),IMPRODUCT(BI144,AK144))</f>
        <v>-1.63222047829362</v>
      </c>
      <c r="BN144" s="4">
        <f t="shared" si="4"/>
        <v>500</v>
      </c>
      <c r="BO144" s="4">
        <v>1</v>
      </c>
      <c r="BP144" s="4" t="str">
        <f>IMSUM(IMPRODUCT($BJ144,$BN144),IMPRODUCT($BK144,$BO144))</f>
        <v>-203.428639303366-129.599231887246i</v>
      </c>
      <c r="BQ144" s="4" t="str">
        <f>IMSUM(IMPRODUCT($BL144,$BN144),IMPRODUCT($BM144,$BO144))</f>
        <v>-1.63222047829362-1.29599231887246i</v>
      </c>
      <c r="BR144" s="4" t="str">
        <f>IMDIV($BP144,$BQ144)</f>
        <v>115.108184487321-11.9959841872258i</v>
      </c>
      <c r="BS144" s="4" t="str">
        <f>IMDIV(IMSUB($BQ$100,$BR144),IMSUM($BQ$100,$BR144))</f>
        <v>-7.31178711717865E-002+5.16896341594144E-002i</v>
      </c>
      <c r="BT144" s="4">
        <f>IMABS($BS144)</f>
        <v>0.08954351659516208</v>
      </c>
      <c r="BU144" s="4">
        <f t="shared" si="5"/>
        <v>1.1967002667942916</v>
      </c>
      <c r="BV144" s="4">
        <f t="shared" si="6"/>
        <v>-0.03496226370196875</v>
      </c>
    </row>
    <row r="145" spans="1:74" ht="12.75">
      <c r="A145" s="5">
        <v>42</v>
      </c>
      <c r="B145" s="5">
        <f t="shared" si="1"/>
        <v>8.200000000000001</v>
      </c>
      <c r="C145" s="4">
        <f t="shared" si="7"/>
        <v>1.2880529879718152</v>
      </c>
      <c r="D145" s="4">
        <f t="shared" si="2"/>
        <v>0.9602936856769431</v>
      </c>
      <c r="E145" s="5">
        <f t="shared" si="3"/>
        <v>0.2789911060392293</v>
      </c>
      <c r="F145" s="9" t="str">
        <f>IF($B$7&gt;0,COMPLEX($E145,0),1)</f>
        <v>0.278991106039229</v>
      </c>
      <c r="G145" s="9" t="str">
        <f>IF($B$7&gt;0,COMPLEX(0,$D145*$B$16),0)</f>
        <v>114.833184072204i</v>
      </c>
      <c r="H145" s="9" t="str">
        <f>IF($B$7&gt;0,COMPLEX(0,$D145/$B$16),0)</f>
        <v>8.03046584662478E-003i</v>
      </c>
      <c r="I145" s="9" t="str">
        <f>IF($B$7&gt;0,COMPLEX($E145,0),1)</f>
        <v>0.278991106039229</v>
      </c>
      <c r="J145" s="9" t="str">
        <f>IF($B$7&gt;1,COMPLEX($E145,0),1)</f>
        <v>0.278991106039229</v>
      </c>
      <c r="K145" s="9" t="str">
        <f>IF($B$7&gt;1,COMPLEX(0,$D145*$B$17),0)</f>
        <v>137.319034383371i</v>
      </c>
      <c r="L145" s="9" t="str">
        <f>IF($B$7&gt;1,COMPLEX(0,$D145/$B$17),0)</f>
        <v>6.71548534325173E-003i</v>
      </c>
      <c r="M145" s="9" t="str">
        <f>IF($B$7&gt;1,COMPLEX($E145,0),1)</f>
        <v>0.278991106039229</v>
      </c>
      <c r="N145" s="9" t="str">
        <f>IF($B$7&gt;2,COMPLEX($E145,0),1)</f>
        <v>0.278991106039229</v>
      </c>
      <c r="O145" s="9" t="str">
        <f>IF($B$7&gt;2,COMPLEX(0,$D145*$B$18),0)</f>
        <v>164.207910425309i</v>
      </c>
      <c r="P145" s="9" t="str">
        <f>IF($B$7&gt;2,COMPLEX(0,$D145/$B$18),0)</f>
        <v>5.61583154162638E-003i</v>
      </c>
      <c r="Q145" s="9" t="str">
        <f>IF($B$7&gt;2,COMPLEX($E145,0),1)</f>
        <v>0.278991106039229</v>
      </c>
      <c r="R145" s="9" t="str">
        <f>IF($B$7&gt;3,COMPLEX($E145,0),1)</f>
        <v>0.278991106039229</v>
      </c>
      <c r="S145" s="9" t="str">
        <f>IF($B$7&gt;3,COMPLEX(0,$D145*$B$19),0)</f>
        <v>196.361982643766i</v>
      </c>
      <c r="T145" s="9" t="str">
        <f>IF($B$7&gt;3,COMPLEX(0,$D145/$B$19),0)</f>
        <v>4.69624491632869E-003i</v>
      </c>
      <c r="U145" s="9" t="str">
        <f>IF($B$7&gt;3,COMPLEX($E145,0),1)</f>
        <v>0.278991106039229</v>
      </c>
      <c r="V145" s="9" t="str">
        <f>IF($B$7&gt;4,COMPLEX($E145,0),1)</f>
        <v>0.278991106039229</v>
      </c>
      <c r="W145" s="9" t="str">
        <f>IF($B$7&gt;4,COMPLEX(0,$D145*$B$20),0)</f>
        <v>234.812245816434i</v>
      </c>
      <c r="X145" s="9" t="str">
        <f>IF($B$7&gt;4,COMPLEX(0,$D145/$B$20),0)</f>
        <v>3.92723965287532E-003i</v>
      </c>
      <c r="Y145" s="9" t="str">
        <f>IF($B$7&gt;4,COMPLEX($E145,0),1)</f>
        <v>0.278991106039229</v>
      </c>
      <c r="Z145" s="9" t="str">
        <f>IF($B$7&gt;5,COMPLEX($E145,0),1)</f>
        <v>0.278991106039229</v>
      </c>
      <c r="AA145" s="9" t="str">
        <f>IF($B$7&gt;5,COMPLEX(0,$D145*$B$21),0)</f>
        <v>280.791577081319i</v>
      </c>
      <c r="AB145" s="9" t="str">
        <f>IF($B$7&gt;5,COMPLEX(0,$D145/$B$21),0)</f>
        <v>3.28415820850617E-003i</v>
      </c>
      <c r="AC145" s="9" t="str">
        <f>IF($B$7&gt;5,COMPLEX($E145,0),1)</f>
        <v>0.278991106039229</v>
      </c>
      <c r="AD145" s="9" t="str">
        <f>IF($B$7&gt;6,COMPLEX($E145,0),1)</f>
        <v>0.278991106039229</v>
      </c>
      <c r="AE145" s="9" t="str">
        <f>IF($B$7&gt;6,COMPLEX(0,$D145*$B$22),0)</f>
        <v>335.774267162587i</v>
      </c>
      <c r="AF145" s="9" t="str">
        <f>IF($B$7&gt;6,COMPLEX(0,$D145/$B$22),0)</f>
        <v>2.74638068766742E-003i</v>
      </c>
      <c r="AG145" s="9" t="str">
        <f>IF($B$7&gt;6,COMPLEX($E145,0),1)</f>
        <v>0.278991106039229</v>
      </c>
      <c r="AH145" s="9" t="str">
        <f>IF($B$7&gt;7,COMPLEX($E145,0),1)</f>
        <v>0.278991106039229</v>
      </c>
      <c r="AI145" s="9" t="str">
        <f>IF($B$7&gt;7,COMPLEX(0,$D145*$B$23),0)</f>
        <v>401.523292331239i</v>
      </c>
      <c r="AJ145" s="9" t="str">
        <f>IF($B$7&gt;7,COMPLEX(0,$D145/$B$23),0)</f>
        <v>2.29666368144407E-003i</v>
      </c>
      <c r="AK145" s="9" t="str">
        <f>IF($B$7&gt;7,COMPLEX($E145,0),1)</f>
        <v>0.278991106039229</v>
      </c>
      <c r="AL145" s="4" t="str">
        <f>IMSUM(IMPRODUCT(F145,J145),IMPRODUCT(G145,L145))</f>
        <v>-0.693324527306822</v>
      </c>
      <c r="AM145" s="5" t="str">
        <f>IMSUM(IMPRODUCT(F145,K145),IMPRODUCT(G145,M145))</f>
        <v>70.3482263171662i</v>
      </c>
      <c r="AN145" s="5" t="str">
        <f>IMSUM(IMPRODUCT(H145,J145),IMPRODUCT(I145,L145))</f>
        <v>4.11398923206413E-003i</v>
      </c>
      <c r="AO145" s="5" t="str">
        <f>IMSUM(IMPRODUCT(H145,K145),IMPRODUCT(I145,M145))</f>
        <v>-1.02489977845816</v>
      </c>
      <c r="AP145" s="4" t="str">
        <f>IMSUM(IMPRODUCT(AL145,N145),IMPRODUCT(AM145,P145))</f>
        <v>-0.588495164966869</v>
      </c>
      <c r="AQ145" s="5" t="str">
        <f>IMSUM(IMPRODUCT(AL145,O145),IMPRODUCT(AM145,Q145))</f>
        <v>-94.2228424075438i</v>
      </c>
      <c r="AR145" s="5" t="str">
        <f>IMSUM(IMPRODUCT(AN145,N145),IMPRODUCT(AO145,P145))</f>
        <v>-4.60789809678417E-003i</v>
      </c>
      <c r="AS145" s="5" t="str">
        <f>IMSUM(IMPRODUCT(AN145,O145),IMPRODUCT(AO145,Q145))</f>
        <v>-0.961487498080875</v>
      </c>
      <c r="AT145" s="4" t="str">
        <f>IMSUM(IMPRODUCT(AP145,R145),IMPRODUCT(AQ145,T145))</f>
        <v>0.278308627685622</v>
      </c>
      <c r="AU145" s="5" t="str">
        <f>IMSUM(IMPRODUCT(AP145,S145),IMPRODUCT(AQ145,U145))</f>
        <v>-141.845412386606i</v>
      </c>
      <c r="AV145" s="5" t="str">
        <f>IMSUM(IMPRODUCT(AR145,R145),IMPRODUCT(AS145,T145))</f>
        <v>-5.80094336151377E-003i</v>
      </c>
      <c r="AW145" s="5" t="str">
        <f>IMSUM(IMPRODUCT(AR145,S145),IMPRODUCT(AS145,U145))</f>
        <v>0.636569545572502</v>
      </c>
      <c r="AX145" s="4" t="str">
        <f>IMSUM(IMPRODUCT(AT145,V145),IMPRODUCT(AU145,X145))</f>
        <v>0.634706559961403</v>
      </c>
      <c r="AY145" s="5" t="str">
        <f>IMSUM(IMPRODUCT(AT145,W145),IMPRODUCT(AU145,Y145))</f>
        <v>25.7766654086209i</v>
      </c>
      <c r="AZ145" s="5" t="str">
        <f>IMSUM(IMPRODUCT(AV145,V145),IMPRODUCT(AW145,X145))</f>
        <v>8.815495566855E-004i</v>
      </c>
      <c r="BA145" s="5" t="str">
        <f>IMSUM(IMPRODUCT(AV145,W145),IMPRODUCT(AW145,Y145))</f>
        <v>1.53972978016114</v>
      </c>
      <c r="BB145" s="4" t="str">
        <f>IMSUM(IMPRODUCT(AX145,Z145),IMPRODUCT(AY145,AB145))</f>
        <v>9.24228378843466E-002</v>
      </c>
      <c r="BC145" s="5" t="str">
        <f>IMSUM(IMPRODUCT(AX145,AA145),IMPRODUCT(AY145,AC145))</f>
        <v>185.411716347775i</v>
      </c>
      <c r="BD145" s="5" t="str">
        <f>IMSUM(IMPRODUCT(AZ145,Z145),IMPRODUCT(BA145,AB145))</f>
        <v>5.30266068224569E-003i</v>
      </c>
      <c r="BE145" s="5" t="str">
        <f>IMSUM(IMPRODUCT(AZ145,AA145),IMPRODUCT(BA145,AC145))</f>
        <v>0.182039224071636</v>
      </c>
      <c r="BF145" s="4" t="str">
        <f>IMSUM(IMPRODUCT(BB145,AD145),IMPRODUCT(BC145,AF145))</f>
        <v>-0.483426007280161</v>
      </c>
      <c r="BG145" s="5" t="str">
        <f>IMSUM(IMPRODUCT(BB145,AE145),IMPRODUCT(BC145,AG145))</f>
        <v>82.7614304762007i</v>
      </c>
      <c r="BH145" s="5" t="str">
        <f>IMSUM(IMPRODUCT(BD145,AD145),IMPRODUCT(BE145,AF145))</f>
        <v>1.97934417807876E-003i</v>
      </c>
      <c r="BI145" s="5" t="str">
        <f>IMSUM(IMPRODUCT(BD145,AE145),IMPRODUCT(BE145,AG145))</f>
        <v>-1.72970968012664</v>
      </c>
      <c r="BJ145" s="4" t="str">
        <f>IMSUM(IMPRODUCT(BF145,AH145),IMPRODUCT(BG145,AJ145))</f>
        <v>-0.32494672805827</v>
      </c>
      <c r="BK145" s="5" t="str">
        <f>IMSUM(IMPRODUCT(BF145,AI145),IMPRODUCT(BG145,AK145))</f>
        <v>-171.017099015732i</v>
      </c>
      <c r="BL145" s="5" t="str">
        <f>IMSUM(IMPRODUCT(BH145,AH145),IMPRODUCT(BI145,AJ145))</f>
        <v>-3.42034198031459E-003i</v>
      </c>
      <c r="BM145" s="5" t="str">
        <f>IMSUM(IMPRODUCT(BH145,AI145),IMPRODUCT(BI145,AK145))</f>
        <v>-1.27732640782415</v>
      </c>
      <c r="BN145" s="4">
        <f t="shared" si="4"/>
        <v>500</v>
      </c>
      <c r="BO145" s="4">
        <v>1</v>
      </c>
      <c r="BP145" s="4" t="str">
        <f>IMSUM(IMPRODUCT($BJ145,$BN145),IMPRODUCT($BK145,$BO145))</f>
        <v>-162.473364029135-171.017099015732i</v>
      </c>
      <c r="BQ145" s="4" t="str">
        <f>IMSUM(IMPRODUCT($BL145,$BN145),IMPRODUCT($BM145,$BO145))</f>
        <v>-1.27732640782415-1.7101709901573i</v>
      </c>
      <c r="BR145" s="4" t="str">
        <f>IMDIV($BP145,$BQ145)</f>
        <v>109.739427581707-13.0398043984264i</v>
      </c>
      <c r="BS145" s="4" t="str">
        <f>IMDIV(IMSUB($BQ$100,$BR145),IMSUM($BQ$100,$BR145))</f>
        <v>-5.01074545812854E-002+5.90561971804662E-002i</v>
      </c>
      <c r="BT145" s="4">
        <f>IMABS($BS145)</f>
        <v>0.07744928295364446</v>
      </c>
      <c r="BU145" s="4">
        <f t="shared" si="5"/>
        <v>1.1679024936463256</v>
      </c>
      <c r="BV145" s="4">
        <f t="shared" si="6"/>
        <v>-0.026129127933357074</v>
      </c>
    </row>
    <row r="146" spans="1:74" ht="12.75">
      <c r="A146" s="5">
        <v>43</v>
      </c>
      <c r="B146" s="5">
        <f t="shared" si="1"/>
        <v>8.4</v>
      </c>
      <c r="C146" s="4">
        <f t="shared" si="7"/>
        <v>1.3194689145077132</v>
      </c>
      <c r="D146" s="4">
        <f t="shared" si="2"/>
        <v>0.9685831611286311</v>
      </c>
      <c r="E146" s="5">
        <f t="shared" si="3"/>
        <v>0.24868988716485474</v>
      </c>
      <c r="F146" s="9" t="str">
        <f>IF($B$7&gt;0,COMPLEX($E146,0),1)</f>
        <v>0.248689887164855</v>
      </c>
      <c r="G146" s="9" t="str">
        <f>IF($B$7&gt;0,COMPLEX(0,$D146*$B$16),0)</f>
        <v>115.824450467686i</v>
      </c>
      <c r="H146" s="9" t="str">
        <f>IF($B$7&gt;0,COMPLEX(0,$D146/$B$16),0)</f>
        <v>8.09978667054989E-003i</v>
      </c>
      <c r="I146" s="9" t="str">
        <f>IF($B$7&gt;0,COMPLEX($E146,0),1)</f>
        <v>0.248689887164855</v>
      </c>
      <c r="J146" s="9" t="str">
        <f>IF($B$7&gt;1,COMPLEX($E146,0),1)</f>
        <v>0.248689887164855</v>
      </c>
      <c r="K146" s="9" t="str">
        <f>IF($B$7&gt;1,COMPLEX(0,$D146*$B$17),0)</f>
        <v>138.504403798529i</v>
      </c>
      <c r="L146" s="9" t="str">
        <f>IF($B$7&gt;1,COMPLEX(0,$D146/$B$17),0)</f>
        <v>6.77345495372544E-003i</v>
      </c>
      <c r="M146" s="9" t="str">
        <f>IF($B$7&gt;1,COMPLEX($E146,0),1)</f>
        <v>0.248689887164855</v>
      </c>
      <c r="N146" s="9" t="str">
        <f>IF($B$7&gt;2,COMPLEX($E146,0),1)</f>
        <v>0.248689887164855</v>
      </c>
      <c r="O146" s="9" t="str">
        <f>IF($B$7&gt;2,COMPLEX(0,$D146*$B$18),0)</f>
        <v>165.625390788604i</v>
      </c>
      <c r="P146" s="9" t="str">
        <f>IF($B$7&gt;2,COMPLEX(0,$D146/$B$18),0)</f>
        <v>5.66430868814882E-003i</v>
      </c>
      <c r="Q146" s="9" t="str">
        <f>IF($B$7&gt;2,COMPLEX($E146,0),1)</f>
        <v>0.248689887164855</v>
      </c>
      <c r="R146" s="9" t="str">
        <f>IF($B$7&gt;3,COMPLEX($E146,0),1)</f>
        <v>0.248689887164855</v>
      </c>
      <c r="S146" s="9" t="str">
        <f>IF($B$7&gt;3,COMPLEX(0,$D146*$B$19),0)</f>
        <v>198.05702433679i</v>
      </c>
      <c r="T146" s="9" t="str">
        <f>IF($B$7&gt;3,COMPLEX(0,$D146/$B$19),0)</f>
        <v>4.7367839800856E-003i</v>
      </c>
      <c r="U146" s="9" t="str">
        <f>IF($B$7&gt;3,COMPLEX($E146,0),1)</f>
        <v>0.248689887164855</v>
      </c>
      <c r="V146" s="9" t="str">
        <f>IF($B$7&gt;4,COMPLEX($E146,0),1)</f>
        <v>0.248689887164855</v>
      </c>
      <c r="W146" s="9" t="str">
        <f>IF($B$7&gt;4,COMPLEX(0,$D146*$B$20),0)</f>
        <v>236.83919900428i</v>
      </c>
      <c r="X146" s="9" t="str">
        <f>IF($B$7&gt;4,COMPLEX(0,$D146/$B$20),0)</f>
        <v>3.9611404867358E-003i</v>
      </c>
      <c r="Y146" s="9" t="str">
        <f>IF($B$7&gt;4,COMPLEX($E146,0),1)</f>
        <v>0.248689887164855</v>
      </c>
      <c r="Z146" s="9" t="str">
        <f>IF($B$7&gt;5,COMPLEX($E146,0),1)</f>
        <v>0.248689887164855</v>
      </c>
      <c r="AA146" s="9" t="str">
        <f>IF($B$7&gt;5,COMPLEX(0,$D146*$B$21),0)</f>
        <v>283.215434407441i</v>
      </c>
      <c r="AB146" s="9" t="str">
        <f>IF($B$7&gt;5,COMPLEX(0,$D146/$B$21),0)</f>
        <v>3.31250781577208E-003i</v>
      </c>
      <c r="AC146" s="9" t="str">
        <f>IF($B$7&gt;5,COMPLEX($E146,0),1)</f>
        <v>0.248689887164855</v>
      </c>
      <c r="AD146" s="9" t="str">
        <f>IF($B$7&gt;6,COMPLEX($E146,0),1)</f>
        <v>0.248689887164855</v>
      </c>
      <c r="AE146" s="9" t="str">
        <f>IF($B$7&gt;6,COMPLEX(0,$D146*$B$22),0)</f>
        <v>338.672747686272i</v>
      </c>
      <c r="AF146" s="9" t="str">
        <f>IF($B$7&gt;6,COMPLEX(0,$D146/$B$22),0)</f>
        <v>2.77008807597057E-003i</v>
      </c>
      <c r="AG146" s="9" t="str">
        <f>IF($B$7&gt;6,COMPLEX($E146,0),1)</f>
        <v>0.248689887164855</v>
      </c>
      <c r="AH146" s="9" t="str">
        <f>IF($B$7&gt;7,COMPLEX($E146,0),1)</f>
        <v>0.248689887164855</v>
      </c>
      <c r="AI146" s="9" t="str">
        <f>IF($B$7&gt;7,COMPLEX(0,$D146*$B$23),0)</f>
        <v>404.989333527495i</v>
      </c>
      <c r="AJ146" s="9" t="str">
        <f>IF($B$7&gt;7,COMPLEX(0,$D146/$B$23),0)</f>
        <v>2.31648900935373E-003i</v>
      </c>
      <c r="AK146" s="9" t="str">
        <f>IF($B$7&gt;7,COMPLEX($E146,0),1)</f>
        <v>0.248689887164855</v>
      </c>
      <c r="AL146" s="4" t="str">
        <f>IMSUM(IMPRODUCT(F146,J146),IMPRODUCT(G146,L146))</f>
        <v>-0.722685037804807</v>
      </c>
      <c r="AM146" s="5" t="str">
        <f>IMSUM(IMPRODUCT(F146,K146),IMPRODUCT(G146,M146))</f>
        <v>63.2490140702319i</v>
      </c>
      <c r="AN146" s="5" t="str">
        <f>IMSUM(IMPRODUCT(H146,J146),IMPRODUCT(I146,L146))</f>
        <v>3.69882478131666E-003i</v>
      </c>
      <c r="AO146" s="5" t="str">
        <f>IMSUM(IMPRODUCT(H146,K146),IMPRODUCT(I146,M146))</f>
        <v>-1.06000946372171</v>
      </c>
      <c r="AP146" s="4" t="str">
        <f>IMSUM(IMPRODUCT(AL146,N146),IMPRODUCT(AM146,P146))</f>
        <v>-0.537986400422267</v>
      </c>
      <c r="AQ146" s="5" t="str">
        <f>IMSUM(IMPRODUCT(AL146,O146),IMPRODUCT(AM146,Q146))</f>
        <v>-103.965601631084i</v>
      </c>
      <c r="AR146" s="5" t="str">
        <f>IMSUM(IMPRODUCT(AN146,N146),IMPRODUCT(AO146,P146))</f>
        <v>-5.08436049737064E-003i</v>
      </c>
      <c r="AS146" s="5" t="str">
        <f>IMSUM(IMPRODUCT(AN146,O146),IMPRODUCT(AO146,Q146))</f>
        <v>-0.876232933790776</v>
      </c>
      <c r="AT146" s="4" t="str">
        <f>IMSUM(IMPRODUCT(AP146,R146),IMPRODUCT(AQ146,T146))</f>
        <v>0.35867081906884</v>
      </c>
      <c r="AU146" s="5" t="str">
        <f>IMSUM(IMPRODUCT(AP146,S146),IMPRODUCT(AQ146,U146))</f>
        <v>-132.407179339955i</v>
      </c>
      <c r="AV146" s="5" t="str">
        <f>IMSUM(IMPRODUCT(AR146,R146),IMPRODUCT(AS146,T146))</f>
        <v>-5.4149551620001E-003i</v>
      </c>
      <c r="AW146" s="5" t="str">
        <f>IMSUM(IMPRODUCT(AR146,S146),IMPRODUCT(AS146,U146))</f>
        <v>0.789083041330192</v>
      </c>
      <c r="AX146" s="4" t="str">
        <f>IMSUM(IMPRODUCT(AT146,V146),IMPRODUCT(AU146,X146))</f>
        <v>0.61368124434154</v>
      </c>
      <c r="AY146" s="5" t="str">
        <f>IMSUM(IMPRODUCT(AT146,W146),IMPRODUCT(AU146,Y146))</f>
        <v>52.018983004603i</v>
      </c>
      <c r="AZ146" s="5" t="str">
        <f>IMSUM(IMPRODUCT(AV146,V146),IMPRODUCT(AW146,X146))</f>
        <v>1.77902419416909E-003i</v>
      </c>
      <c r="BA146" s="5" t="str">
        <f>IMSUM(IMPRODUCT(AV146,W146),IMPRODUCT(AW146,Y146))</f>
        <v>1.47871061572431</v>
      </c>
      <c r="BB146" s="4" t="str">
        <f>IMSUM(IMPRODUCT(AX146,Z146),IMPRODUCT(AY146,AB146))</f>
        <v>-1.9696968360777E-002</v>
      </c>
      <c r="BC146" s="5" t="str">
        <f>IMSUM(IMPRODUCT(AX146,AA146),IMPRODUCT(AY146,AC146))</f>
        <v>186.740595217733i</v>
      </c>
      <c r="BD146" s="5" t="str">
        <f>IMSUM(IMPRODUCT(AZ146,Z146),IMPRODUCT(BA146,AB146))</f>
        <v>5.34066579796338E-003i</v>
      </c>
      <c r="BE146" s="5" t="str">
        <f>IMSUM(IMPRODUCT(AZ146,AA146),IMPRODUCT(BA146,AC146))</f>
        <v>-0.136106733798995</v>
      </c>
      <c r="BF146" s="4" t="str">
        <f>IMSUM(IMPRODUCT(BB146,AD146),IMPRODUCT(BC146,AF146))</f>
        <v>-0.52218633295142</v>
      </c>
      <c r="BG146" s="5" t="str">
        <f>IMSUM(IMPRODUCT(BB146,AE146),IMPRODUCT(BC146,AG146))</f>
        <v>39.769671157962i</v>
      </c>
      <c r="BH146" s="5" t="str">
        <f>IMSUM(IMPRODUCT(BD146,AD146),IMPRODUCT(BE146,AF146))</f>
        <v>9.51141934324813E-004i</v>
      </c>
      <c r="BI146" s="5" t="str">
        <f>IMSUM(IMPRODUCT(BD146,AE146),IMPRODUCT(BE146,AG146))</f>
        <v>-1.8425863285412</v>
      </c>
      <c r="BJ146" s="4" t="str">
        <f>IMSUM(IMPRODUCT(BF146,AH146),IMPRODUCT(BG146,AJ146))</f>
        <v>-0.221988466363749</v>
      </c>
      <c r="BK146" s="5" t="str">
        <f>IMSUM(IMPRODUCT(BF146,AI146),IMPRODUCT(BG146,AK146))</f>
        <v>-201.589579926305i</v>
      </c>
      <c r="BL146" s="5" t="str">
        <f>IMSUM(IMPRODUCT(BH146,AH146),IMPRODUCT(BI146,AJ146))</f>
        <v>-4.03179159852613E-003i</v>
      </c>
      <c r="BM146" s="5" t="str">
        <f>IMSUM(IMPRODUCT(BH146,AI146),IMPRODUCT(BI146,AK146))</f>
        <v>-0.843434924208673</v>
      </c>
      <c r="BN146" s="4">
        <f t="shared" si="4"/>
        <v>500</v>
      </c>
      <c r="BO146" s="4">
        <v>1</v>
      </c>
      <c r="BP146" s="4" t="str">
        <f>IMSUM(IMPRODUCT($BJ146,$BN146),IMPRODUCT($BK146,$BO146))</f>
        <v>-110.994233181875-201.589579926305i</v>
      </c>
      <c r="BQ146" s="4" t="str">
        <f>IMSUM(IMPRODUCT($BL146,$BN146),IMPRODUCT($BM146,$BO146))</f>
        <v>-0.843434924208673-2.01589579926307i</v>
      </c>
      <c r="BR146" s="4" t="str">
        <f>IMDIV($BP146,$BQ146)</f>
        <v>104.707253970502-11.2508188039569i</v>
      </c>
      <c r="BS146" s="4" t="str">
        <f>IMDIV(IMSUB($BQ$100,$BR146),IMSUM($BQ$100,$BR146))</f>
        <v>-2.59373638121256E-002+5.35349969817559E-002i</v>
      </c>
      <c r="BT146" s="4">
        <f>IMABS($BS146)</f>
        <v>0.0594873326293857</v>
      </c>
      <c r="BU146" s="4">
        <f t="shared" si="5"/>
        <v>1.1264998009983087</v>
      </c>
      <c r="BV146" s="4">
        <f t="shared" si="6"/>
        <v>-0.0153958214838672</v>
      </c>
    </row>
    <row r="147" spans="1:74" ht="12.75">
      <c r="A147" s="5">
        <v>44</v>
      </c>
      <c r="B147" s="5">
        <f t="shared" si="1"/>
        <v>8.6</v>
      </c>
      <c r="C147" s="4">
        <f t="shared" si="7"/>
        <v>1.350884841043611</v>
      </c>
      <c r="D147" s="4">
        <f t="shared" si="2"/>
        <v>0.9759167619387474</v>
      </c>
      <c r="E147" s="5">
        <f t="shared" si="3"/>
        <v>0.21814324139654268</v>
      </c>
      <c r="F147" s="9" t="str">
        <f>IF($B$7&gt;0,COMPLEX($E147,0),1)</f>
        <v>0.218143241396543</v>
      </c>
      <c r="G147" s="9" t="str">
        <f>IF($B$7&gt;0,COMPLEX(0,$D147*$B$16),0)</f>
        <v>116.701412114213i</v>
      </c>
      <c r="H147" s="9" t="str">
        <f>IF($B$7&gt;0,COMPLEX(0,$D147/$B$16),0)</f>
        <v>8.16111398293028E-003i</v>
      </c>
      <c r="I147" s="9" t="str">
        <f>IF($B$7&gt;0,COMPLEX($E147,0),1)</f>
        <v>0.218143241396543</v>
      </c>
      <c r="J147" s="9" t="str">
        <f>IF($B$7&gt;1,COMPLEX($E147,0),1)</f>
        <v>0.218143241396543</v>
      </c>
      <c r="K147" s="9" t="str">
        <f>IF($B$7&gt;1,COMPLEX(0,$D147*$B$17),0)</f>
        <v>139.553086088976i</v>
      </c>
      <c r="L147" s="9" t="str">
        <f>IF($B$7&gt;1,COMPLEX(0,$D147/$B$17),0)</f>
        <v>6.82473998192895E-003i</v>
      </c>
      <c r="M147" s="9" t="str">
        <f>IF($B$7&gt;1,COMPLEX($E147,0),1)</f>
        <v>0.218143241396543</v>
      </c>
      <c r="N147" s="9" t="str">
        <f>IF($B$7&gt;2,COMPLEX($E147,0),1)</f>
        <v>0.218143241396543</v>
      </c>
      <c r="O147" s="9" t="str">
        <f>IF($B$7&gt;2,COMPLEX(0,$D147*$B$18),0)</f>
        <v>166.879418887387i</v>
      </c>
      <c r="P147" s="9" t="str">
        <f>IF($B$7&gt;2,COMPLEX(0,$D147/$B$18),0)</f>
        <v>5.70719584585632E-003i</v>
      </c>
      <c r="Q147" s="9" t="str">
        <f>IF($B$7&gt;2,COMPLEX($E147,0),1)</f>
        <v>0.218143241396543</v>
      </c>
      <c r="R147" s="9" t="str">
        <f>IF($B$7&gt;3,COMPLEX($E147,0),1)</f>
        <v>0.218143241396543</v>
      </c>
      <c r="S147" s="9" t="str">
        <f>IF($B$7&gt;3,COMPLEX(0,$D147*$B$19),0)</f>
        <v>199.556607658508i</v>
      </c>
      <c r="T147" s="9" t="str">
        <f>IF($B$7&gt;3,COMPLEX(0,$D147/$B$19),0)</f>
        <v>4.77264840993304E-003i</v>
      </c>
      <c r="U147" s="9" t="str">
        <f>IF($B$7&gt;3,COMPLEX($E147,0),1)</f>
        <v>0.218143241396543</v>
      </c>
      <c r="V147" s="9" t="str">
        <f>IF($B$7&gt;4,COMPLEX($E147,0),1)</f>
        <v>0.218143241396543</v>
      </c>
      <c r="W147" s="9" t="str">
        <f>IF($B$7&gt;4,COMPLEX(0,$D147*$B$20),0)</f>
        <v>238.632420496652i</v>
      </c>
      <c r="X147" s="9" t="str">
        <f>IF($B$7&gt;4,COMPLEX(0,$D147/$B$20),0)</f>
        <v>3.99113215317016E-003i</v>
      </c>
      <c r="Y147" s="9" t="str">
        <f>IF($B$7&gt;4,COMPLEX($E147,0),1)</f>
        <v>0.218143241396543</v>
      </c>
      <c r="Z147" s="9" t="str">
        <f>IF($B$7&gt;5,COMPLEX($E147,0),1)</f>
        <v>0.218143241396543</v>
      </c>
      <c r="AA147" s="9" t="str">
        <f>IF($B$7&gt;5,COMPLEX(0,$D147*$B$21),0)</f>
        <v>285.359792292816i</v>
      </c>
      <c r="AB147" s="9" t="str">
        <f>IF($B$7&gt;5,COMPLEX(0,$D147/$B$21),0)</f>
        <v>3.33758837774773E-003i</v>
      </c>
      <c r="AC147" s="9" t="str">
        <f>IF($B$7&gt;5,COMPLEX($E147,0),1)</f>
        <v>0.218143241396543</v>
      </c>
      <c r="AD147" s="9" t="str">
        <f>IF($B$7&gt;6,COMPLEX($E147,0),1)</f>
        <v>0.218143241396543</v>
      </c>
      <c r="AE147" s="9" t="str">
        <f>IF($B$7&gt;6,COMPLEX(0,$D147*$B$22),0)</f>
        <v>341.236999096448i</v>
      </c>
      <c r="AF147" s="9" t="str">
        <f>IF($B$7&gt;6,COMPLEX(0,$D147/$B$22),0)</f>
        <v>2.79106172177953E-003i</v>
      </c>
      <c r="AG147" s="9" t="str">
        <f>IF($B$7&gt;6,COMPLEX($E147,0),1)</f>
        <v>0.218143241396543</v>
      </c>
      <c r="AH147" s="9" t="str">
        <f>IF($B$7&gt;7,COMPLEX($E147,0),1)</f>
        <v>0.218143241396543</v>
      </c>
      <c r="AI147" s="9" t="str">
        <f>IF($B$7&gt;7,COMPLEX(0,$D147*$B$23),0)</f>
        <v>408.055699146514i</v>
      </c>
      <c r="AJ147" s="9" t="str">
        <f>IF($B$7&gt;7,COMPLEX(0,$D147/$B$23),0)</f>
        <v>2.33402824228425E-003i</v>
      </c>
      <c r="AK147" s="9" t="str">
        <f>IF($B$7&gt;7,COMPLEX($E147,0),1)</f>
        <v>0.218143241396543</v>
      </c>
      <c r="AL147" s="4" t="str">
        <f>IMSUM(IMPRODUCT(F147,J147),IMPRODUCT(G147,L147))</f>
        <v>-0.748870319436447</v>
      </c>
      <c r="AM147" s="5" t="str">
        <f>IMSUM(IMPRODUCT(F147,K147),IMPRODUCT(G147,M147))</f>
        <v>55.9001868604882i</v>
      </c>
      <c r="AN147" s="5" t="str">
        <f>IMSUM(IMPRODUCT(H147,J147),IMPRODUCT(I147,L147))</f>
        <v>3.26906275898963E-003i</v>
      </c>
      <c r="AO147" s="5" t="str">
        <f>IMSUM(IMPRODUCT(H147,K147),IMPRODUCT(I147,M147))</f>
        <v>-1.09132216847483</v>
      </c>
      <c r="AP147" s="4" t="str">
        <f>IMSUM(IMPRODUCT(AL147,N147),IMPRODUCT(AM147,P147))</f>
        <v>-0.482394313100301</v>
      </c>
      <c r="AQ147" s="5" t="str">
        <f>IMSUM(IMPRODUCT(AL147,O147),IMPRODUCT(AM147,Q147))</f>
        <v>-112.776795773147i</v>
      </c>
      <c r="AR147" s="5" t="str">
        <f>IMSUM(IMPRODUCT(AN147,N147),IMPRODUCT(AO147,P147))</f>
        <v>-5.51526539983574E-003i</v>
      </c>
      <c r="AS147" s="5" t="str">
        <f>IMSUM(IMPRODUCT(AN147,O147),IMPRODUCT(AO147,Q147))</f>
        <v>-0.783603848765591</v>
      </c>
      <c r="AT147" s="4" t="str">
        <f>IMSUM(IMPRODUCT(AP147,R147),IMPRODUCT(AQ147,T147))</f>
        <v>0.433012935933094</v>
      </c>
      <c r="AU147" s="5" t="str">
        <f>IMSUM(IMPRODUCT(AP147,S147),IMPRODUCT(AQ147,U147))</f>
        <v>-120.866468460322i</v>
      </c>
      <c r="AV147" s="5" t="str">
        <f>IMSUM(IMPRODUCT(AR147,R147),IMPRODUCT(AS147,T147))</f>
        <v>-4.94298353431088E-003i</v>
      </c>
      <c r="AW147" s="5" t="str">
        <f>IMSUM(IMPRODUCT(AR147,S147),IMPRODUCT(AS147,U147))</f>
        <v>0.929669769987038</v>
      </c>
      <c r="AX147" s="4" t="str">
        <f>IMSUM(IMPRODUCT(AT147,V147),IMPRODUCT(AU147,X147))</f>
        <v>0.576852893923197</v>
      </c>
      <c r="AY147" s="5" t="str">
        <f>IMSUM(IMPRODUCT(AT147,W147),IMPRODUCT(AU147,Y147))</f>
        <v>76.9647218019883i</v>
      </c>
      <c r="AZ147" s="5" t="str">
        <f>IMSUM(IMPRODUCT(AV147,V147),IMPRODUCT(AW147,X147))</f>
        <v>2.63215646048125E-003i</v>
      </c>
      <c r="BA147" s="5" t="str">
        <f>IMSUM(IMPRODUCT(AV147,W147),IMPRODUCT(AW147,Y147))</f>
        <v>1.38235730232105</v>
      </c>
      <c r="BB147" s="4" t="str">
        <f>IMSUM(IMPRODUCT(AX147,Z147),IMPRODUCT(AY147,AB147))</f>
        <v>-0.131040000893522</v>
      </c>
      <c r="BC147" s="5" t="str">
        <f>IMSUM(IMPRODUCT(AX147,AA147),IMPRODUCT(AY147,AC147))</f>
        <v>181.399955880502i</v>
      </c>
      <c r="BD147" s="5" t="str">
        <f>IMSUM(IMPRODUCT(AZ147,Z147),IMPRODUCT(BA147,AB147))</f>
        <v>5.18792680827367E-003i</v>
      </c>
      <c r="BE147" s="5" t="str">
        <f>IMSUM(IMPRODUCT(AZ147,AA147),IMPRODUCT(BA147,AC147))</f>
        <v>-0.449559718148628</v>
      </c>
      <c r="BF147" s="4" t="str">
        <f>IMSUM(IMPRODUCT(BB147,AD147),IMPRODUCT(BC147,AF147))</f>
        <v>-0.534883963738084</v>
      </c>
      <c r="BG147" s="5" t="str">
        <f>IMSUM(IMPRODUCT(BB147,AE147),IMPRODUCT(BC147,AG147))</f>
        <v>-5.1445223015387i</v>
      </c>
      <c r="BH147" s="5" t="str">
        <f>IMSUM(IMPRODUCT(BD147,AD147),IMPRODUCT(BE147,AF147))</f>
        <v>-1.2303775089379E-004i</v>
      </c>
      <c r="BI147" s="5" t="str">
        <f>IMSUM(IMPRODUCT(BD147,AE147),IMPRODUCT(BE147,AG147))</f>
        <v>-1.86838098970558</v>
      </c>
      <c r="BJ147" s="4" t="str">
        <f>IMSUM(IMPRODUCT(BF147,AH147),IMPRODUCT(BG147,AJ147))</f>
        <v>-0.104673861276004</v>
      </c>
      <c r="BK147" s="5" t="str">
        <f>IMSUM(IMPRODUCT(BF147,AI147),IMPRODUCT(BG147,AK147))</f>
        <v>-219.384692555696i</v>
      </c>
      <c r="BL147" s="5" t="str">
        <f>IMSUM(IMPRODUCT(BH147,AH147),IMPRODUCT(BI147,AJ147))</f>
        <v>-4.38769385111393E-003i</v>
      </c>
      <c r="BM147" s="5" t="str">
        <f>IMSUM(IMPRODUCT(BH147,AI147),IMPRODUCT(BI147,AK147))</f>
        <v>-0.357368429795676</v>
      </c>
      <c r="BN147" s="4">
        <f t="shared" si="4"/>
        <v>500</v>
      </c>
      <c r="BO147" s="4">
        <v>1</v>
      </c>
      <c r="BP147" s="4" t="str">
        <f>IMSUM(IMPRODUCT($BJ147,$BN147),IMPRODUCT($BK147,$BO147))</f>
        <v>-52.336930638002-219.384692555696i</v>
      </c>
      <c r="BQ147" s="4" t="str">
        <f>IMSUM(IMPRODUCT($BL147,$BN147),IMPRODUCT($BM147,$BO147))</f>
        <v>-0.357368429795676-2.19384692555697i</v>
      </c>
      <c r="BR147" s="4" t="str">
        <f>IMDIV($BP147,$BQ147)</f>
        <v>101.200715575706-7.37106569748828i</v>
      </c>
      <c r="BS147" s="4" t="str">
        <f>IMDIV(IMSUB($BQ$100,$BR147),IMSUM($BQ$100,$BR147))</f>
        <v>-7.30010362330271E-003+3.63679429923756E-002i</v>
      </c>
      <c r="BT147" s="4">
        <f>IMABS($BS147)</f>
        <v>0.037093379333887046</v>
      </c>
      <c r="BU147" s="4">
        <f t="shared" si="5"/>
        <v>1.0770446033660601</v>
      </c>
      <c r="BV147" s="4">
        <f t="shared" si="6"/>
        <v>-0.005979654085434575</v>
      </c>
    </row>
    <row r="148" spans="1:74" ht="12.75">
      <c r="A148" s="5">
        <v>45</v>
      </c>
      <c r="B148" s="5">
        <f t="shared" si="1"/>
        <v>8.8</v>
      </c>
      <c r="C148" s="4">
        <f t="shared" si="7"/>
        <v>1.3823007675795091</v>
      </c>
      <c r="D148" s="4">
        <f t="shared" si="2"/>
        <v>0.9822872507286887</v>
      </c>
      <c r="E148" s="5">
        <f t="shared" si="3"/>
        <v>0.1873813145857245</v>
      </c>
      <c r="F148" s="9" t="str">
        <f>IF($B$7&gt;0,COMPLEX($E148,0),1)</f>
        <v>0.187381314585724</v>
      </c>
      <c r="G148" s="9" t="str">
        <f>IF($B$7&gt;0,COMPLEX(0,$D148*$B$16),0)</f>
        <v>117.463203556515i</v>
      </c>
      <c r="H148" s="9" t="str">
        <f>IF($B$7&gt;0,COMPLEX(0,$D148/$B$16),0)</f>
        <v>8.21438726111274E-003i</v>
      </c>
      <c r="I148" s="9" t="str">
        <f>IF($B$7&gt;0,COMPLEX($E148,0),1)</f>
        <v>0.187381314585724</v>
      </c>
      <c r="J148" s="9" t="str">
        <f>IF($B$7&gt;1,COMPLEX($E148,0),1)</f>
        <v>0.187381314585724</v>
      </c>
      <c r="K148" s="9" t="str">
        <f>IF($B$7&gt;1,COMPLEX(0,$D148*$B$17),0)</f>
        <v>140.464046331903i</v>
      </c>
      <c r="L148" s="9" t="str">
        <f>IF($B$7&gt;1,COMPLEX(0,$D148/$B$17),0)</f>
        <v>6.86928981573114E-003i</v>
      </c>
      <c r="M148" s="9" t="str">
        <f>IF($B$7&gt;1,COMPLEX($E148,0),1)</f>
        <v>0.187381314585724</v>
      </c>
      <c r="N148" s="9" t="str">
        <f>IF($B$7&gt;2,COMPLEX($E148,0),1)</f>
        <v>0.187381314585724</v>
      </c>
      <c r="O148" s="9" t="str">
        <f>IF($B$7&gt;2,COMPLEX(0,$D148*$B$18),0)</f>
        <v>167.968757147324i</v>
      </c>
      <c r="P148" s="9" t="str">
        <f>IF($B$7&gt;2,COMPLEX(0,$D148/$B$18),0)</f>
        <v>5.74445069030207E-003i</v>
      </c>
      <c r="Q148" s="9" t="str">
        <f>IF($B$7&gt;2,COMPLEX($E148,0),1)</f>
        <v>0.187381314585724</v>
      </c>
      <c r="R148" s="9" t="str">
        <f>IF($B$7&gt;3,COMPLEX($E148,0),1)</f>
        <v>0.187381314585724</v>
      </c>
      <c r="S148" s="9" t="str">
        <f>IF($B$7&gt;3,COMPLEX(0,$D148*$B$19),0)</f>
        <v>200.859252701229i</v>
      </c>
      <c r="T148" s="9" t="str">
        <f>IF($B$7&gt;3,COMPLEX(0,$D148/$B$19),0)</f>
        <v>4.80380281200869E-003i</v>
      </c>
      <c r="U148" s="9" t="str">
        <f>IF($B$7&gt;3,COMPLEX($E148,0),1)</f>
        <v>0.187381314585724</v>
      </c>
      <c r="V148" s="9" t="str">
        <f>IF($B$7&gt;4,COMPLEX($E148,0),1)</f>
        <v>0.187381314585724</v>
      </c>
      <c r="W148" s="9" t="str">
        <f>IF($B$7&gt;4,COMPLEX(0,$D148*$B$20),0)</f>
        <v>240.190140600435i</v>
      </c>
      <c r="X148" s="9" t="str">
        <f>IF($B$7&gt;4,COMPLEX(0,$D148/$B$20),0)</f>
        <v>4.01718505402457E-003i</v>
      </c>
      <c r="Y148" s="9" t="str">
        <f>IF($B$7&gt;4,COMPLEX($E148,0),1)</f>
        <v>0.187381314585724</v>
      </c>
      <c r="Z148" s="9" t="str">
        <f>IF($B$7&gt;5,COMPLEX($E148,0),1)</f>
        <v>0.187381314585724</v>
      </c>
      <c r="AA148" s="9" t="str">
        <f>IF($B$7&gt;5,COMPLEX(0,$D148*$B$21),0)</f>
        <v>287.222534515103i</v>
      </c>
      <c r="AB148" s="9" t="str">
        <f>IF($B$7&gt;5,COMPLEX(0,$D148/$B$21),0)</f>
        <v>3.35937514294648E-003i</v>
      </c>
      <c r="AC148" s="9" t="str">
        <f>IF($B$7&gt;5,COMPLEX($E148,0),1)</f>
        <v>0.187381314585724</v>
      </c>
      <c r="AD148" s="9" t="str">
        <f>IF($B$7&gt;6,COMPLEX($E148,0),1)</f>
        <v>0.187381314585724</v>
      </c>
      <c r="AE148" s="9" t="str">
        <f>IF($B$7&gt;6,COMPLEX(0,$D148*$B$22),0)</f>
        <v>343.464490786557i</v>
      </c>
      <c r="AF148" s="9" t="str">
        <f>IF($B$7&gt;6,COMPLEX(0,$D148/$B$22),0)</f>
        <v>2.80928092663805E-003i</v>
      </c>
      <c r="AG148" s="9" t="str">
        <f>IF($B$7&gt;6,COMPLEX($E148,0),1)</f>
        <v>0.187381314585724</v>
      </c>
      <c r="AH148" s="9" t="str">
        <f>IF($B$7&gt;7,COMPLEX($E148,0),1)</f>
        <v>0.187381314585724</v>
      </c>
      <c r="AI148" s="9" t="str">
        <f>IF($B$7&gt;7,COMPLEX(0,$D148*$B$23),0)</f>
        <v>410.719363055637i</v>
      </c>
      <c r="AJ148" s="9" t="str">
        <f>IF($B$7&gt;7,COMPLEX(0,$D148/$B$23),0)</f>
        <v>2.34926407113029E-003i</v>
      </c>
      <c r="AK148" s="9" t="str">
        <f>IF($B$7&gt;7,COMPLEX($E148,0),1)</f>
        <v>0.187381314585724</v>
      </c>
      <c r="AL148" s="4" t="str">
        <f>IMSUM(IMPRODUCT(F148,J148),IMPRODUCT(G148,L148))</f>
        <v>-0.771777030858048</v>
      </c>
      <c r="AM148" s="5" t="str">
        <f>IMSUM(IMPRODUCT(F148,K148),IMPRODUCT(G148,M148))</f>
        <v>48.3307471515723i</v>
      </c>
      <c r="AN148" s="5" t="str">
        <f>IMSUM(IMPRODUCT(H148,J148),IMPRODUCT(I148,L148))</f>
        <v>2.82639923944556E-003i</v>
      </c>
      <c r="AO148" s="5" t="str">
        <f>IMSUM(IMPRODUCT(H148,K148),IMPRODUCT(I148,M148))</f>
        <v>-1.11871431577726</v>
      </c>
      <c r="AP148" s="4" t="str">
        <f>IMSUM(IMPRODUCT(AL148,N148),IMPRODUCT(AM148,P148))</f>
        <v>-0.422250188446912</v>
      </c>
      <c r="AQ148" s="5" t="str">
        <f>IMSUM(IMPRODUCT(AL148,O148),IMPRODUCT(AM148,Q148))</f>
        <v>-120.578149731906i</v>
      </c>
      <c r="AR148" s="5" t="str">
        <f>IMSUM(IMPRODUCT(AN148,N148),IMPRODUCT(AO148,P148))</f>
        <v>-5.89678481848609E-003i</v>
      </c>
      <c r="AS148" s="5" t="str">
        <f>IMSUM(IMPRODUCT(AN148,O148),IMPRODUCT(AO148,Q148))</f>
        <v>-0.684372926588025</v>
      </c>
      <c r="AT148" s="4" t="str">
        <f>IMSUM(IMPRODUCT(AP148,R148),IMPRODUCT(AQ148,T148))</f>
        <v>0.500111859353683</v>
      </c>
      <c r="AU148" s="5" t="str">
        <f>IMSUM(IMPRODUCT(AP148,S148),IMPRODUCT(AQ148,U148))</f>
        <v>-107.406949511479i</v>
      </c>
      <c r="AV148" s="5" t="str">
        <f>IMSUM(IMPRODUCT(AR148,R148),IMPRODUCT(AS148,T148))</f>
        <v>-4.39253988032323E-003i</v>
      </c>
      <c r="AW148" s="5" t="str">
        <f>IMSUM(IMPRODUCT(AR148,S148),IMPRODUCT(AS148,U148))</f>
        <v>1.05618509333013</v>
      </c>
      <c r="AX148" s="4" t="str">
        <f>IMSUM(IMPRODUCT(AT148,V148),IMPRODUCT(AU148,X148))</f>
        <v>0.525185209921489</v>
      </c>
      <c r="AY148" s="5" t="str">
        <f>IMSUM(IMPRODUCT(AT148,W148),IMPRODUCT(AU148,Y148))</f>
        <v>99.9958824190026i</v>
      </c>
      <c r="AZ148" s="5" t="str">
        <f>IMSUM(IMPRODUCT(AV148,V148),IMPRODUCT(AW148,X148))</f>
        <v>3.41981107406415E-003i</v>
      </c>
      <c r="BA148" s="5" t="str">
        <f>IMSUM(IMPRODUCT(AV148,W148),IMPRODUCT(AW148,Y148))</f>
        <v>1.2529541226819</v>
      </c>
      <c r="BB148" s="4" t="str">
        <f>IMSUM(IMPRODUCT(AX148,Z148),IMPRODUCT(AY148,AB148))</f>
        <v>-0.237513786759328</v>
      </c>
      <c r="BC148" s="5" t="str">
        <f>IMSUM(IMPRODUCT(AX148,AA148),IMPRODUCT(AY148,AC148))</f>
        <v>169.582386984328i</v>
      </c>
      <c r="BD148" s="5" t="str">
        <f>IMSUM(IMPRODUCT(AZ148,Z148),IMPRODUCT(BA148,AB148))</f>
        <v>4.84995162968285E-003i</v>
      </c>
      <c r="BE148" s="5" t="str">
        <f>IMSUM(IMPRODUCT(AZ148,AA148),IMPRODUCT(BA148,AC148))</f>
        <v>-0.747466613631785</v>
      </c>
      <c r="BF148" s="4" t="str">
        <f>IMSUM(IMPRODUCT(BB148,AD148),IMPRODUCT(BC148,AF148))</f>
        <v>-0.520910210844021</v>
      </c>
      <c r="BG148" s="5" t="str">
        <f>IMSUM(IMPRODUCT(BB148,AE148),IMPRODUCT(BC148,AG148))</f>
        <v>-49.8009812203711i</v>
      </c>
      <c r="BH148" s="5" t="str">
        <f>IMSUM(IMPRODUCT(BD148,AD148),IMPRODUCT(BE148,AF148))</f>
        <v>-1.19105338892736E-003i</v>
      </c>
      <c r="BI148" s="5" t="str">
        <f>IMSUM(IMPRODUCT(BD148,AE148),IMPRODUCT(BE148,AG148))</f>
        <v>-1.80584744349971</v>
      </c>
      <c r="BJ148" s="4" t="str">
        <f>IMSUM(IMPRODUCT(BF148,AH148),IMPRODUCT(BG148,AJ148))</f>
        <v>1.93868157989727E-002</v>
      </c>
      <c r="BK148" s="5" t="str">
        <f>IMSUM(IMPRODUCT(BF148,AI148),IMPRODUCT(BG148,AK148))</f>
        <v>-223.279683335766i</v>
      </c>
      <c r="BL148" s="5" t="str">
        <f>IMSUM(IMPRODUCT(BH148,AH148),IMPRODUCT(BI148,AJ148))</f>
        <v>-4.46559366671534E-003i</v>
      </c>
      <c r="BM148" s="5" t="str">
        <f>IMSUM(IMPRODUCT(BH148,AI148),IMPRODUCT(BI148,AK148))</f>
        <v>0.150806621361258</v>
      </c>
      <c r="BN148" s="4">
        <f t="shared" si="4"/>
        <v>500</v>
      </c>
      <c r="BO148" s="4">
        <v>1</v>
      </c>
      <c r="BP148" s="4" t="str">
        <f>IMSUM(IMPRODUCT($BJ148,$BN148),IMPRODUCT($BK148,$BO148))</f>
        <v>9.69340789948635-223.279683335766i</v>
      </c>
      <c r="BQ148" s="4" t="str">
        <f>IMSUM(IMPRODUCT($BL148,$BN148),IMPRODUCT($BM148,$BO148))</f>
        <v>0.150806621361258-2.23279683335767i</v>
      </c>
      <c r="BR148" s="4" t="str">
        <f>IMDIV($BP148,$BQ148)</f>
        <v>99.8377768690789-2.40182619136648i</v>
      </c>
      <c r="BS148" s="4" t="str">
        <f>IMDIV(IMSUB($BQ$100,$BR148),IMSUM($BQ$100,$BR148))</f>
        <v>6.67224246187311E-004+1.2026898946194E-002i</v>
      </c>
      <c r="BT148" s="4">
        <f>IMABS($BS148)</f>
        <v>0.012045392748128329</v>
      </c>
      <c r="BU148" s="4">
        <f t="shared" si="5"/>
        <v>1.0243845064534578</v>
      </c>
      <c r="BV148" s="4">
        <f t="shared" si="6"/>
        <v>-0.0006301700366520809</v>
      </c>
    </row>
    <row r="149" spans="1:74" ht="12.75">
      <c r="A149" s="5">
        <v>46</v>
      </c>
      <c r="B149" s="5">
        <f t="shared" si="1"/>
        <v>9</v>
      </c>
      <c r="C149" s="4">
        <f t="shared" si="7"/>
        <v>1.413716694115407</v>
      </c>
      <c r="D149" s="4">
        <f t="shared" si="2"/>
        <v>0.9876883405951378</v>
      </c>
      <c r="E149" s="5">
        <f t="shared" si="3"/>
        <v>0.15643446504023092</v>
      </c>
      <c r="F149" s="9" t="str">
        <f>IF($B$7&gt;0,COMPLEX($E149,0),1)</f>
        <v>0.156434465040231</v>
      </c>
      <c r="G149" s="9" t="str">
        <f>IF($B$7&gt;0,COMPLEX(0,$D149*$B$16),0)</f>
        <v>118.109072998411i</v>
      </c>
      <c r="H149" s="9" t="str">
        <f>IF($B$7&gt;0,COMPLEX(0,$D149/$B$16),0)</f>
        <v>8.25955393080348E-003i</v>
      </c>
      <c r="I149" s="9" t="str">
        <f>IF($B$7&gt;0,COMPLEX($E149,0),1)</f>
        <v>0.156434465040231</v>
      </c>
      <c r="J149" s="9" t="str">
        <f>IF($B$7&gt;1,COMPLEX($E149,0),1)</f>
        <v>0.156434465040231</v>
      </c>
      <c r="K149" s="9" t="str">
        <f>IF($B$7&gt;1,COMPLEX(0,$D149*$B$17),0)</f>
        <v>141.236385519529i</v>
      </c>
      <c r="L149" s="9" t="str">
        <f>IF($B$7&gt;1,COMPLEX(0,$D149/$B$17),0)</f>
        <v>6.90706048982462E-003i</v>
      </c>
      <c r="M149" s="9" t="str">
        <f>IF($B$7&gt;1,COMPLEX($E149,0),1)</f>
        <v>0.156434465040231</v>
      </c>
      <c r="N149" s="9" t="str">
        <f>IF($B$7&gt;2,COMPLEX($E149,0),1)</f>
        <v>0.156434465040231</v>
      </c>
      <c r="O149" s="9" t="str">
        <f>IF($B$7&gt;2,COMPLEX(0,$D149*$B$18),0)</f>
        <v>168.892330523071i</v>
      </c>
      <c r="P149" s="9" t="str">
        <f>IF($B$7&gt;2,COMPLEX(0,$D149/$B$18),0)</f>
        <v>5.77603645545243E-003i</v>
      </c>
      <c r="Q149" s="9" t="str">
        <f>IF($B$7&gt;2,COMPLEX($E149,0),1)</f>
        <v>0.156434465040231</v>
      </c>
      <c r="R149" s="9" t="str">
        <f>IF($B$7&gt;3,COMPLEX($E149,0),1)</f>
        <v>0.156434465040231</v>
      </c>
      <c r="S149" s="9" t="str">
        <f>IF($B$7&gt;3,COMPLEX(0,$D149*$B$19),0)</f>
        <v>201.963673911564i</v>
      </c>
      <c r="T149" s="9" t="str">
        <f>IF($B$7&gt;3,COMPLEX(0,$D149/$B$19),0)</f>
        <v>4.83021644067903E-003i</v>
      </c>
      <c r="U149" s="9" t="str">
        <f>IF($B$7&gt;3,COMPLEX($E149,0),1)</f>
        <v>0.156434465040231</v>
      </c>
      <c r="V149" s="9" t="str">
        <f>IF($B$7&gt;4,COMPLEX($E149,0),1)</f>
        <v>0.156434465040231</v>
      </c>
      <c r="W149" s="9" t="str">
        <f>IF($B$7&gt;4,COMPLEX(0,$D149*$B$20),0)</f>
        <v>241.510822033952i</v>
      </c>
      <c r="X149" s="9" t="str">
        <f>IF($B$7&gt;4,COMPLEX(0,$D149/$B$20),0)</f>
        <v>4.03927347823128E-003i</v>
      </c>
      <c r="Y149" s="9" t="str">
        <f>IF($B$7&gt;4,COMPLEX($E149,0),1)</f>
        <v>0.156434465040231</v>
      </c>
      <c r="Z149" s="9" t="str">
        <f>IF($B$7&gt;5,COMPLEX($E149,0),1)</f>
        <v>0.156434465040231</v>
      </c>
      <c r="AA149" s="9" t="str">
        <f>IF($B$7&gt;5,COMPLEX(0,$D149*$B$21),0)</f>
        <v>288.801822772621i</v>
      </c>
      <c r="AB149" s="9" t="str">
        <f>IF($B$7&gt;5,COMPLEX(0,$D149/$B$21),0)</f>
        <v>3.37784661046141E-003i</v>
      </c>
      <c r="AC149" s="9" t="str">
        <f>IF($B$7&gt;5,COMPLEX($E149,0),1)</f>
        <v>0.156434465040231</v>
      </c>
      <c r="AD149" s="9" t="str">
        <f>IF($B$7&gt;6,COMPLEX($E149,0),1)</f>
        <v>0.156434465040231</v>
      </c>
      <c r="AE149" s="9" t="str">
        <f>IF($B$7&gt;6,COMPLEX(0,$D149*$B$22),0)</f>
        <v>345.353024491231i</v>
      </c>
      <c r="AF149" s="9" t="str">
        <f>IF($B$7&gt;6,COMPLEX(0,$D149/$B$22),0)</f>
        <v>2.82472771039058E-003i</v>
      </c>
      <c r="AG149" s="9" t="str">
        <f>IF($B$7&gt;6,COMPLEX($E149,0),1)</f>
        <v>0.156434465040231</v>
      </c>
      <c r="AH149" s="9" t="str">
        <f>IF($B$7&gt;7,COMPLEX($E149,0),1)</f>
        <v>0.156434465040231</v>
      </c>
      <c r="AI149" s="9" t="str">
        <f>IF($B$7&gt;7,COMPLEX(0,$D149*$B$23),0)</f>
        <v>412.977696540174i</v>
      </c>
      <c r="AJ149" s="9" t="str">
        <f>IF($B$7&gt;7,COMPLEX(0,$D149/$B$23),0)</f>
        <v>2.36218145996821E-003i</v>
      </c>
      <c r="AK149" s="9" t="str">
        <f>IF($B$7&gt;7,COMPLEX($E149,0),1)</f>
        <v>0.156434465040231</v>
      </c>
      <c r="AL149" s="4" t="str">
        <f>IMSUM(IMPRODUCT(F149,J149),IMPRODUCT(G149,L149))</f>
        <v>-0.791314769744713</v>
      </c>
      <c r="AM149" s="5" t="str">
        <f>IMSUM(IMPRODUCT(F149,K149),IMPRODUCT(G149,M149))</f>
        <v>40.5705680638673i</v>
      </c>
      <c r="AN149" s="5" t="str">
        <f>IMSUM(IMPRODUCT(H149,J149),IMPRODUCT(I149,L149))</f>
        <v>2.37258121336241E-003i</v>
      </c>
      <c r="AO149" s="5" t="str">
        <f>IMSUM(IMPRODUCT(H149,K149),IMPRODUCT(I149,M149))</f>
        <v>-1.14207780133788</v>
      </c>
      <c r="AP149" s="4" t="str">
        <f>IMSUM(IMPRODUCT(AL149,N149),IMPRODUCT(AM149,P149))</f>
        <v>-0.35812598283876</v>
      </c>
      <c r="AQ149" s="5" t="str">
        <f>IMSUM(IMPRODUCT(AL149,O149),IMPRODUCT(AM149,Q149))</f>
        <v>-127.300360528063i</v>
      </c>
      <c r="AR149" s="5" t="str">
        <f>IMSUM(IMPRODUCT(AN149,N149),IMPRODUCT(AO149,P149))</f>
        <v>-6.2255295426137E-003i</v>
      </c>
      <c r="AS149" s="5" t="str">
        <f>IMSUM(IMPRODUCT(AN149,O149),IMPRODUCT(AO149,Q149))</f>
        <v>-0.579371100366647</v>
      </c>
      <c r="AT149" s="4" t="str">
        <f>IMSUM(IMPRODUCT(AP149,R149),IMPRODUCT(AQ149,T149))</f>
        <v>0.55886504778463</v>
      </c>
      <c r="AU149" s="5" t="str">
        <f>IMSUM(IMPRODUCT(AP149,S149),IMPRODUCT(AQ149,U149))</f>
        <v>-92.2426030159418i</v>
      </c>
      <c r="AV149" s="5" t="str">
        <f>IMSUM(IMPRODUCT(AR149,R149),IMPRODUCT(AS149,T149))</f>
        <v>-3.77237519783621E-003i</v>
      </c>
      <c r="AW149" s="5" t="str">
        <f>IMSUM(IMPRODUCT(AR149,S149),IMPRODUCT(AS149,U149))</f>
        <v>1.16669721032561</v>
      </c>
      <c r="AX149" s="4" t="str">
        <f>IMSUM(IMPRODUCT(AT149,V149),IMPRODUCT(AU149,X149))</f>
        <v>0.460018854705182</v>
      </c>
      <c r="AY149" s="5" t="str">
        <f>IMSUM(IMPRODUCT(AT149,W149),IMPRODUCT(AU149,Y149))</f>
        <v>120.542034839793i</v>
      </c>
      <c r="AZ149" s="5" t="str">
        <f>IMSUM(IMPRODUCT(AV149,V149),IMPRODUCT(AW149,X149))</f>
        <v>4.12247960279012E-003i</v>
      </c>
      <c r="BA149" s="5" t="str">
        <f>IMSUM(IMPRODUCT(AV149,W149),IMPRODUCT(AW149,Y149))</f>
        <v>1.09358108901113</v>
      </c>
      <c r="BB149" s="4" t="str">
        <f>IMSUM(IMPRODUCT(AX149,Z149),IMPRODUCT(AY149,AB149))</f>
        <v>-0.335209700357491</v>
      </c>
      <c r="BC149" s="5" t="str">
        <f>IMSUM(IMPRODUCT(AX149,AA149),IMPRODUCT(AY149,AC149))</f>
        <v>151.711212483654i</v>
      </c>
      <c r="BD149" s="5" t="str">
        <f>IMSUM(IMPRODUCT(AZ149,Z149),IMPRODUCT(BA149,AB149))</f>
        <v>4.33884706608268E-003i</v>
      </c>
      <c r="BE149" s="5" t="str">
        <f>IMSUM(IMPRODUCT(AZ149,AA149),IMPRODUCT(BA149,AC149))</f>
        <v>-1.01950585099117</v>
      </c>
      <c r="BF149" s="4" t="str">
        <f>IMSUM(IMPRODUCT(BB149,AD149),IMPRODUCT(BC149,AF149))</f>
        <v>-0.480981216031251</v>
      </c>
      <c r="BG149" s="5" t="str">
        <f>IMSUM(IMPRODUCT(BB149,AE149),IMPRODUCT(BC149,AG149))</f>
        <v>-92.0328214917738i</v>
      </c>
      <c r="BH149" s="5" t="str">
        <f>IMSUM(IMPRODUCT(BD149,AD149),IMPRODUCT(BE149,AF149))</f>
        <v>-2.20108120852607E-003i</v>
      </c>
      <c r="BI149" s="5" t="str">
        <f>IMSUM(IMPRODUCT(BD149,AE149),IMPRODUCT(BE149,AG149))</f>
        <v>-1.65791980948175</v>
      </c>
      <c r="BJ149" s="4" t="str">
        <f>IMSUM(IMPRODUCT(BF149,AH149),IMPRODUCT(BG149,AJ149))</f>
        <v>0.142156185412184</v>
      </c>
      <c r="BK149" s="5" t="str">
        <f>IMSUM(IMPRODUCT(BF149,AI149),IMPRODUCT(BG149,AK149))</f>
        <v>-213.031619871887i</v>
      </c>
      <c r="BL149" s="5" t="str">
        <f>IMSUM(IMPRODUCT(BH149,AH149),IMPRODUCT(BI149,AJ149))</f>
        <v>-4.2606323974377E-003i</v>
      </c>
      <c r="BM149" s="5" t="str">
        <f>IMSUM(IMPRODUCT(BH149,AI149),IMPRODUCT(BI149,AK149))</f>
        <v>0.64964164891908</v>
      </c>
      <c r="BN149" s="4">
        <f t="shared" si="4"/>
        <v>500</v>
      </c>
      <c r="BO149" s="4">
        <v>1</v>
      </c>
      <c r="BP149" s="4" t="str">
        <f>IMSUM(IMPRODUCT($BJ149,$BN149),IMPRODUCT($BK149,$BO149))</f>
        <v>71.078092706092-213.031619871887i</v>
      </c>
      <c r="BQ149" s="4" t="str">
        <f>IMSUM(IMPRODUCT($BL149,$BN149),IMPRODUCT($BM149,$BO149))</f>
        <v>0.64964164891908-2.13031619871885i</v>
      </c>
      <c r="BR149" s="4" t="str">
        <f>IMDIV($BP149,$BQ149)</f>
        <v>100.800733233355+2.62577835134856i</v>
      </c>
      <c r="BS149" s="4" t="str">
        <f>IMDIV(IMSUB($BQ$100,$BR149),IMSUM($BQ$100,$BR149))</f>
        <v>-4.15798558330817E-003-1.30221656102217E-002i</v>
      </c>
      <c r="BT149" s="4">
        <f>IMABS($BS149)</f>
        <v>0.013669880807492043</v>
      </c>
      <c r="BU149" s="4">
        <f t="shared" si="5"/>
        <v>1.0277186725650909</v>
      </c>
      <c r="BV149" s="4">
        <f t="shared" si="6"/>
        <v>-0.0008116230032883993</v>
      </c>
    </row>
    <row r="150" spans="1:74" ht="12.75">
      <c r="A150" s="5">
        <v>47</v>
      </c>
      <c r="B150" s="5">
        <f t="shared" si="1"/>
        <v>9.200000000000001</v>
      </c>
      <c r="C150" s="4">
        <f t="shared" si="7"/>
        <v>1.445132620651305</v>
      </c>
      <c r="D150" s="4">
        <f t="shared" si="2"/>
        <v>0.9921147013144778</v>
      </c>
      <c r="E150" s="5">
        <f t="shared" si="3"/>
        <v>0.12533323356430404</v>
      </c>
      <c r="F150" s="9" t="str">
        <f>IF($B$7&gt;0,COMPLEX($E150,0),1)</f>
        <v>0.125333233564304</v>
      </c>
      <c r="G150" s="9" t="str">
        <f>IF($B$7&gt;0,COMPLEX(0,$D150*$B$16),0)</f>
        <v>118.638383044738i</v>
      </c>
      <c r="H150" s="9" t="str">
        <f>IF($B$7&gt;0,COMPLEX(0,$D150/$B$16),0)</f>
        <v>8.29656941795254E-003i</v>
      </c>
      <c r="I150" s="9" t="str">
        <f>IF($B$7&gt;0,COMPLEX($E150,0),1)</f>
        <v>0.125333233564304</v>
      </c>
      <c r="J150" s="9" t="str">
        <f>IF($B$7&gt;1,COMPLEX($E150,0),1)</f>
        <v>0.125333233564304</v>
      </c>
      <c r="K150" s="9" t="str">
        <f>IF($B$7&gt;1,COMPLEX(0,$D150*$B$17),0)</f>
        <v>141.869341446323i</v>
      </c>
      <c r="L150" s="9" t="str">
        <f>IF($B$7&gt;1,COMPLEX(0,$D150/$B$17),0)</f>
        <v>6.93801472911415E-003i</v>
      </c>
      <c r="M150" s="9" t="str">
        <f>IF($B$7&gt;1,COMPLEX($E150,0),1)</f>
        <v>0.125333233564304</v>
      </c>
      <c r="N150" s="9" t="str">
        <f>IF($B$7&gt;2,COMPLEX($E150,0),1)</f>
        <v>0.125333233564304</v>
      </c>
      <c r="O150" s="9" t="str">
        <f>IF($B$7&gt;2,COMPLEX(0,$D150*$B$18),0)</f>
        <v>169.649227559209i</v>
      </c>
      <c r="P150" s="9" t="str">
        <f>IF($B$7&gt;2,COMPLEX(0,$D150/$B$18),0)</f>
        <v>5.80192196997059E-003i</v>
      </c>
      <c r="Q150" s="9" t="str">
        <f>IF($B$7&gt;2,COMPLEX($E150,0),1)</f>
        <v>0.125333233564304</v>
      </c>
      <c r="R150" s="9" t="str">
        <f>IF($B$7&gt;3,COMPLEX($E150,0),1)</f>
        <v>0.125333233564304</v>
      </c>
      <c r="S150" s="9" t="str">
        <f>IF($B$7&gt;3,COMPLEX(0,$D150*$B$19),0)</f>
        <v>202.868781359119i</v>
      </c>
      <c r="T150" s="9" t="str">
        <f>IF($B$7&gt;3,COMPLEX(0,$D150/$B$19),0)</f>
        <v>4.85186322888152E-003i</v>
      </c>
      <c r="U150" s="9" t="str">
        <f>IF($B$7&gt;3,COMPLEX($E150,0),1)</f>
        <v>0.125333233564304</v>
      </c>
      <c r="V150" s="9" t="str">
        <f>IF($B$7&gt;4,COMPLEX($E150,0),1)</f>
        <v>0.125333233564304</v>
      </c>
      <c r="W150" s="9" t="str">
        <f>IF($B$7&gt;4,COMPLEX(0,$D150*$B$20),0)</f>
        <v>242.593161444076i</v>
      </c>
      <c r="X150" s="9" t="str">
        <f>IF($B$7&gt;4,COMPLEX(0,$D150/$B$20),0)</f>
        <v>4.05737562718238E-003i</v>
      </c>
      <c r="Y150" s="9" t="str">
        <f>IF($B$7&gt;4,COMPLEX($E150,0),1)</f>
        <v>0.125333233564304</v>
      </c>
      <c r="Z150" s="9" t="str">
        <f>IF($B$7&gt;5,COMPLEX($E150,0),1)</f>
        <v>0.125333233564304</v>
      </c>
      <c r="AA150" s="9" t="str">
        <f>IF($B$7&gt;5,COMPLEX(0,$D150*$B$21),0)</f>
        <v>290.096098498529i</v>
      </c>
      <c r="AB150" s="9" t="str">
        <f>IF($B$7&gt;5,COMPLEX(0,$D150/$B$21),0)</f>
        <v>3.39298455118419E-003i</v>
      </c>
      <c r="AC150" s="9" t="str">
        <f>IF($B$7&gt;5,COMPLEX($E150,0),1)</f>
        <v>0.125333233564304</v>
      </c>
      <c r="AD150" s="9" t="str">
        <f>IF($B$7&gt;6,COMPLEX($E150,0),1)</f>
        <v>0.125333233564304</v>
      </c>
      <c r="AE150" s="9" t="str">
        <f>IF($B$7&gt;6,COMPLEX(0,$D150*$B$22),0)</f>
        <v>346.900736455708i</v>
      </c>
      <c r="AF150" s="9" t="str">
        <f>IF($B$7&gt;6,COMPLEX(0,$D150/$B$22),0)</f>
        <v>2.83738682892647E-003i</v>
      </c>
      <c r="AG150" s="9" t="str">
        <f>IF($B$7&gt;6,COMPLEX($E150,0),1)</f>
        <v>0.125333233564304</v>
      </c>
      <c r="AH150" s="9" t="str">
        <f>IF($B$7&gt;7,COMPLEX($E150,0),1)</f>
        <v>0.125333233564304</v>
      </c>
      <c r="AI150" s="9" t="str">
        <f>IF($B$7&gt;7,COMPLEX(0,$D150*$B$23),0)</f>
        <v>414.828470897627i</v>
      </c>
      <c r="AJ150" s="9" t="str">
        <f>IF($B$7&gt;7,COMPLEX(0,$D150/$B$23),0)</f>
        <v>2.37276766089477E-003i</v>
      </c>
      <c r="AK150" s="9" t="str">
        <f>IF($B$7&gt;7,COMPLEX($E150,0),1)</f>
        <v>0.125333233564304</v>
      </c>
      <c r="AL150" s="4" t="str">
        <f>IMSUM(IMPRODUCT(F150,J150),IMPRODUCT(G150,L150))</f>
        <v>-0.807406429566995</v>
      </c>
      <c r="AM150" s="5" t="str">
        <f>IMSUM(IMPRODUCT(F150,K150),IMPRODUCT(G150,M150))</f>
        <v>32.6502754789435i</v>
      </c>
      <c r="AN150" s="5" t="str">
        <f>IMSUM(IMPRODUCT(H150,J150),IMPRODUCT(I150,L150))</f>
        <v>1.90939969315936E-003i</v>
      </c>
      <c r="AO150" s="5" t="str">
        <f>IMSUM(IMPRODUCT(H150,K150),IMPRODUCT(I150,M150))</f>
        <v>-1.16132042015295</v>
      </c>
      <c r="AP150" s="4" t="str">
        <f>IMSUM(IMPRODUCT(AL150,N150),IMPRODUCT(AM150,P150))</f>
        <v>-0.290629209245115</v>
      </c>
      <c r="AQ150" s="5" t="str">
        <f>IMSUM(IMPRODUCT(AL150,O150),IMPRODUCT(AM150,Q150))</f>
        <v>-132.883712499839i</v>
      </c>
      <c r="AR150" s="5" t="str">
        <f>IMSUM(IMPRODUCT(AN150,N150),IMPRODUCT(AO150,P150))</f>
        <v>-6.49857922215053E-003i</v>
      </c>
      <c r="AS150" s="5" t="str">
        <f>IMSUM(IMPRODUCT(AN150,O150),IMPRODUCT(AO150,Q150))</f>
        <v>-0.469480226508301</v>
      </c>
      <c r="AT150" s="4" t="str">
        <f>IMSUM(IMPRODUCT(AP150,R150),IMPRODUCT(AQ150,T150))</f>
        <v>0.608308099832305</v>
      </c>
      <c r="AU150" s="5" t="str">
        <f>IMSUM(IMPRODUCT(AP150,S150),IMPRODUCT(AQ150,U150))</f>
        <v>-75.614338882555i</v>
      </c>
      <c r="AV150" s="5" t="str">
        <f>IMSUM(IMPRODUCT(AR150,R150),IMPRODUCT(AS150,T150))</f>
        <v>-3.09234179516852E-003i</v>
      </c>
      <c r="AW150" s="5" t="str">
        <f>IMSUM(IMPRODUCT(AR150,S150),IMPRODUCT(AS150,U150))</f>
        <v>1.25951737248058</v>
      </c>
      <c r="AX150" s="4" t="str">
        <f>IMSUM(IMPRODUCT(AT150,V150),IMPRODUCT(AU150,X150))</f>
        <v>0.383036996802928</v>
      </c>
      <c r="AY150" s="5" t="str">
        <f>IMSUM(IMPRODUCT(AT150,W150),IMPRODUCT(AU150,Y150))</f>
        <v>138.094395474379i</v>
      </c>
      <c r="AZ150" s="5" t="str">
        <f>IMSUM(IMPRODUCT(AV150,V150),IMPRODUCT(AW150,X150))</f>
        <v>4.72276189264099E-003i</v>
      </c>
      <c r="BA150" s="5" t="str">
        <f>IMSUM(IMPRODUCT(AV150,W150),IMPRODUCT(AW150,Y150))</f>
        <v>0.908040357378988</v>
      </c>
      <c r="BB150" s="4" t="str">
        <f>IMSUM(IMPRODUCT(AX150,Z150),IMPRODUCT(AY150,AB150))</f>
        <v>-0.420544885065617</v>
      </c>
      <c r="BC150" s="5" t="str">
        <f>IMSUM(IMPRODUCT(AX150,AA150),IMPRODUCT(AY150,AC150))</f>
        <v>128.425355475035i</v>
      </c>
      <c r="BD150" s="5" t="str">
        <f>IMSUM(IMPRODUCT(AZ150,Z150),IMPRODUCT(BA150,AB150))</f>
        <v>3.67288592379765E-003i</v>
      </c>
      <c r="BE150" s="5" t="str">
        <f>IMSUM(IMPRODUCT(AZ150,AA150),IMPRODUCT(BA150,AC150))</f>
        <v>-1.25624716499548</v>
      </c>
      <c r="BF150" s="4" t="str">
        <f>IMSUM(IMPRODUCT(BB150,AD150),IMPRODUCT(BC150,AF150))</f>
        <v>-0.417100662429266</v>
      </c>
      <c r="BG150" s="5" t="str">
        <f>IMSUM(IMPRODUCT(BB150,AE150),IMPRODUCT(BC150,AG150))</f>
        <v>-129.791365268613i</v>
      </c>
      <c r="BH150" s="5" t="str">
        <f>IMSUM(IMPRODUCT(BD150,AD150),IMPRODUCT(BE150,AF150))</f>
        <v>-3.10412449049201E-003i</v>
      </c>
      <c r="BI150" s="5" t="str">
        <f>IMSUM(IMPRODUCT(BD150,AE150),IMPRODUCT(BE150,AG150))</f>
        <v>-1.43157635122808</v>
      </c>
      <c r="BJ150" s="4" t="str">
        <f>IMSUM(IMPRODUCT(BF150,AH150),IMPRODUCT(BG150,AJ150))</f>
        <v>0.255688179428673</v>
      </c>
      <c r="BK150" s="5" t="str">
        <f>IMSUM(IMPRODUCT(BF150,AI150),IMPRODUCT(BG150,AK150))</f>
        <v>-189.292401503761i</v>
      </c>
      <c r="BL150" s="5" t="str">
        <f>IMSUM(IMPRODUCT(BH150,AH150),IMPRODUCT(BI150,AJ150))</f>
        <v>-3.78584803007523E-003i</v>
      </c>
      <c r="BM150" s="5" t="str">
        <f>IMSUM(IMPRODUCT(BH150,AI150),IMPRODUCT(BI150,AK150))</f>
        <v>1.10825512267308</v>
      </c>
      <c r="BN150" s="4">
        <f t="shared" si="4"/>
        <v>500</v>
      </c>
      <c r="BO150" s="4">
        <v>1</v>
      </c>
      <c r="BP150" s="4" t="str">
        <f>IMSUM(IMPRODUCT($BJ150,$BN150),IMPRODUCT($BK150,$BO150))</f>
        <v>127.844089714337-189.292401503761i</v>
      </c>
      <c r="BQ150" s="4" t="str">
        <f>IMSUM(IMPRODUCT($BL150,$BN150),IMPRODUCT($BM150,$BO150))</f>
        <v>1.10825512267308-1.89292401503762i</v>
      </c>
      <c r="BR150" s="4" t="str">
        <f>IMDIV($BP150,$BQ150)</f>
        <v>103.920056931817+6.69554307013246i</v>
      </c>
      <c r="BS150" s="4" t="str">
        <f>IMDIV(IMSUB($BQ$100,$BR150),IMSUM($BQ$100,$BR150))</f>
        <v>-2.02797172547366E-002-3.21682891251673E-002i</v>
      </c>
      <c r="BT150" s="4">
        <f>IMABS($BS150)</f>
        <v>0.038027171301221165</v>
      </c>
      <c r="BU150" s="4">
        <f t="shared" si="5"/>
        <v>1.0790608012341867</v>
      </c>
      <c r="BV150" s="4">
        <f t="shared" si="6"/>
        <v>-0.0062847289497181946</v>
      </c>
    </row>
    <row r="151" spans="1:74" ht="12.75">
      <c r="A151" s="5">
        <v>48</v>
      </c>
      <c r="B151" s="5">
        <f t="shared" si="1"/>
        <v>9.4</v>
      </c>
      <c r="C151" s="4">
        <f t="shared" si="7"/>
        <v>1.4765485471872029</v>
      </c>
      <c r="D151" s="4">
        <f t="shared" si="2"/>
        <v>0.99556196460308</v>
      </c>
      <c r="E151" s="5">
        <f t="shared" si="3"/>
        <v>0.09410831331851428</v>
      </c>
      <c r="F151" s="9" t="str">
        <f>IF($B$7&gt;0,COMPLEX($E151,0),1)</f>
        <v>9.41083133185143E-002</v>
      </c>
      <c r="G151" s="9" t="str">
        <f>IF($B$7&gt;0,COMPLEX(0,$D151*$B$16),0)</f>
        <v>119.050611330387i</v>
      </c>
      <c r="H151" s="9" t="str">
        <f>IF($B$7&gt;0,COMPLEX(0,$D151/$B$16),0)</f>
        <v>8.32539719274305E-003i</v>
      </c>
      <c r="I151" s="9" t="str">
        <f>IF($B$7&gt;0,COMPLEX($E151,0),1)</f>
        <v>9.41083133185143E-002</v>
      </c>
      <c r="J151" s="9" t="str">
        <f>IF($B$7&gt;1,COMPLEX($E151,0),1)</f>
        <v>9.41083133185143E-002</v>
      </c>
      <c r="K151" s="9" t="str">
        <f>IF($B$7&gt;1,COMPLEX(0,$D151*$B$17),0)</f>
        <v>142.362289461203i</v>
      </c>
      <c r="L151" s="9" t="str">
        <f>IF($B$7&gt;1,COMPLEX(0,$D151/$B$17),0)</f>
        <v>6.96212198550272E-003i</v>
      </c>
      <c r="M151" s="9" t="str">
        <f>IF($B$7&gt;1,COMPLEX($E151,0),1)</f>
        <v>9.41083133185143E-002</v>
      </c>
      <c r="N151" s="9" t="str">
        <f>IF($B$7&gt;2,COMPLEX($E151,0),1)</f>
        <v>9.41083133185143E-002</v>
      </c>
      <c r="O151" s="9" t="str">
        <f>IF($B$7&gt;2,COMPLEX(0,$D151*$B$18),0)</f>
        <v>170.238701289746i</v>
      </c>
      <c r="P151" s="9" t="str">
        <f>IF($B$7&gt;2,COMPLEX(0,$D151/$B$18),0)</f>
        <v>5.82208168797891E-003i</v>
      </c>
      <c r="Q151" s="9" t="str">
        <f>IF($B$7&gt;2,COMPLEX($E151,0),1)</f>
        <v>9.41083133185143E-002</v>
      </c>
      <c r="R151" s="9" t="str">
        <f>IF($B$7&gt;3,COMPLEX($E151,0),1)</f>
        <v>9.41083133185143E-002</v>
      </c>
      <c r="S151" s="9" t="str">
        <f>IF($B$7&gt;3,COMPLEX(0,$D151*$B$19),0)</f>
        <v>203.573681812117i</v>
      </c>
      <c r="T151" s="9" t="str">
        <f>IF($B$7&gt;3,COMPLEX(0,$D151/$B$19),0)</f>
        <v>4.86872181384965E-003i</v>
      </c>
      <c r="U151" s="9" t="str">
        <f>IF($B$7&gt;3,COMPLEX($E151,0),1)</f>
        <v>9.41083133185143E-002</v>
      </c>
      <c r="V151" s="9" t="str">
        <f>IF($B$7&gt;4,COMPLEX($E151,0),1)</f>
        <v>9.41083133185143E-002</v>
      </c>
      <c r="W151" s="9" t="str">
        <f>IF($B$7&gt;4,COMPLEX(0,$D151*$B$20),0)</f>
        <v>243.436090692483i</v>
      </c>
      <c r="X151" s="9" t="str">
        <f>IF($B$7&gt;4,COMPLEX(0,$D151/$B$20),0)</f>
        <v>4.07147363624235E-003i</v>
      </c>
      <c r="Y151" s="9" t="str">
        <f>IF($B$7&gt;4,COMPLEX($E151,0),1)</f>
        <v>9.41083133185143E-002</v>
      </c>
      <c r="Z151" s="9" t="str">
        <f>IF($B$7&gt;5,COMPLEX($E151,0),1)</f>
        <v>9.41083133185143E-002</v>
      </c>
      <c r="AA151" s="9" t="str">
        <f>IF($B$7&gt;5,COMPLEX(0,$D151*$B$21),0)</f>
        <v>291.104084398945i</v>
      </c>
      <c r="AB151" s="9" t="str">
        <f>IF($B$7&gt;5,COMPLEX(0,$D151/$B$21),0)</f>
        <v>3.40477402579493E-003i</v>
      </c>
      <c r="AC151" s="9" t="str">
        <f>IF($B$7&gt;5,COMPLEX($E151,0),1)</f>
        <v>9.41083133185143E-002</v>
      </c>
      <c r="AD151" s="9" t="str">
        <f>IF($B$7&gt;6,COMPLEX($E151,0),1)</f>
        <v>9.41083133185143E-002</v>
      </c>
      <c r="AE151" s="9" t="str">
        <f>IF($B$7&gt;6,COMPLEX(0,$D151*$B$22),0)</f>
        <v>348.106099275136i</v>
      </c>
      <c r="AF151" s="9" t="str">
        <f>IF($B$7&gt;6,COMPLEX(0,$D151/$B$22),0)</f>
        <v>2.84724578922406E-003i</v>
      </c>
      <c r="AG151" s="9" t="str">
        <f>IF($B$7&gt;6,COMPLEX($E151,0),1)</f>
        <v>9.41083133185143E-002</v>
      </c>
      <c r="AH151" s="9" t="str">
        <f>IF($B$7&gt;7,COMPLEX($E151,0),1)</f>
        <v>9.41083133185143E-002</v>
      </c>
      <c r="AI151" s="9" t="str">
        <f>IF($B$7&gt;7,COMPLEX(0,$D151*$B$23),0)</f>
        <v>416.269859637152i</v>
      </c>
      <c r="AJ151" s="9" t="str">
        <f>IF($B$7&gt;7,COMPLEX(0,$D151/$B$23),0)</f>
        <v>2.38101222660773E-003i</v>
      </c>
      <c r="AK151" s="9" t="str">
        <f>IF($B$7&gt;7,COMPLEX($E151,0),1)</f>
        <v>9.41083133185143E-002</v>
      </c>
      <c r="AL151" s="4" t="str">
        <f>IMSUM(IMPRODUCT(F151,J151),IMPRODUCT(G151,L151))</f>
        <v>-0.819988503895171</v>
      </c>
      <c r="AM151" s="5" t="str">
        <f>IMSUM(IMPRODUCT(F151,K151),IMPRODUCT(G151,M151))</f>
        <v>24.6011271731966i</v>
      </c>
      <c r="AN151" s="5" t="str">
        <f>IMSUM(IMPRODUCT(H151,J151),IMPRODUCT(I151,L151))</f>
        <v>1.43868264468915E-003i</v>
      </c>
      <c r="AO151" s="5" t="str">
        <f>IMSUM(IMPRODUCT(H151,K151),IMPRODUCT(I151,M151))</f>
        <v>-1.17636623039711</v>
      </c>
      <c r="AP151" s="4" t="str">
        <f>IMSUM(IMPRODUCT(AL151,N151),IMPRODUCT(AM151,P151))</f>
        <v>-0.220397507060855</v>
      </c>
      <c r="AQ151" s="5" t="str">
        <f>IMSUM(IMPRODUCT(AL151,O151),IMPRODUCT(AM151,Q151))</f>
        <v>-137.278607391632i</v>
      </c>
      <c r="AR151" s="5" t="str">
        <f>IMSUM(IMPRODUCT(AN151,N151),IMPRODUCT(AO151,P151))</f>
        <v>-6.71350829125947E-003i</v>
      </c>
      <c r="AS151" s="5" t="str">
        <f>IMSUM(IMPRODUCT(AN151,O151),IMPRODUCT(AO151,Q151))</f>
        <v>-0.355625306787509</v>
      </c>
      <c r="AT151" s="4" t="str">
        <f>IMSUM(IMPRODUCT(AP151,R151),IMPRODUCT(AQ151,T151))</f>
        <v>0.647630112733439</v>
      </c>
      <c r="AU151" s="5" t="str">
        <f>IMSUM(IMPRODUCT(AP151,S151),IMPRODUCT(AQ151,U151))</f>
        <v>-57.7861901709313i</v>
      </c>
      <c r="AV151" s="5" t="str">
        <f>IMSUM(IMPRODUCT(AR151,R151),IMPRODUCT(AS151,T151))</f>
        <v>-2.36323763045361E-003i</v>
      </c>
      <c r="AW151" s="5" t="str">
        <f>IMSUM(IMPRODUCT(AR151,S151),IMPRODUCT(AS151,U151))</f>
        <v>1.33322630293271</v>
      </c>
      <c r="AX151" s="4" t="str">
        <f>IMSUM(IMPRODUCT(AT151,V151),IMPRODUCT(AU151,X151))</f>
        <v>0.296222327383457</v>
      </c>
      <c r="AY151" s="5" t="str">
        <f>IMSUM(IMPRODUCT(AT151,W151),IMPRODUCT(AU151,Y151))</f>
        <v>152.218381968471i</v>
      </c>
      <c r="AZ151" s="5" t="str">
        <f>IMSUM(IMPRODUCT(AV151,V151),IMPRODUCT(AW151,X151))</f>
        <v>5.20579543616256E-003i</v>
      </c>
      <c r="BA151" s="5" t="str">
        <f>IMSUM(IMPRODUCT(AV151,W151),IMPRODUCT(AW151,Y151))</f>
        <v>0.70076500877587</v>
      </c>
      <c r="BB151" s="4" t="str">
        <f>IMSUM(IMPRODUCT(AX151,Z151),IMPRODUCT(AY151,AB151))</f>
        <v>-0.490392209577439</v>
      </c>
      <c r="BC151" s="5" t="str">
        <f>IMSUM(IMPRODUCT(AX151,AA151),IMPRODUCT(AY151,AC151))</f>
        <v>100.556544574612i</v>
      </c>
      <c r="BD151" s="5" t="str">
        <f>IMSUM(IMPRODUCT(AZ151,Z151),IMPRODUCT(BA151,AB151))</f>
        <v>2.87585512804452E-003i</v>
      </c>
      <c r="BE151" s="5" t="str">
        <f>IMSUM(IMPRODUCT(AZ151,AA151),IMPRODUCT(BA151,AC151))</f>
        <v>-1.44948050100378</v>
      </c>
      <c r="BF151" s="4" t="str">
        <f>IMSUM(IMPRODUCT(BB151,AD151),IMPRODUCT(BC151,AF151))</f>
        <v>-0.332459181826858</v>
      </c>
      <c r="BG151" s="5" t="str">
        <f>IMSUM(IMPRODUCT(BB151,AE151),IMPRODUCT(BC151,AG151))</f>
        <v>-161.245312387862i</v>
      </c>
      <c r="BH151" s="5" t="str">
        <f>IMSUM(IMPRODUCT(BD151,AD151),IMPRODUCT(BE151,AF151))</f>
        <v>-3.85638537759672E-003i</v>
      </c>
      <c r="BI151" s="5" t="str">
        <f>IMSUM(IMPRODUCT(BD151,AE151),IMPRODUCT(BE151,AG151))</f>
        <v>-1.13751087584151</v>
      </c>
      <c r="BJ151" s="4" t="str">
        <f>IMSUM(IMPRODUCT(BF151,AH151),IMPRODUCT(BG151,AJ151))</f>
        <v>0.352639887429703</v>
      </c>
      <c r="BK151" s="5" t="str">
        <f>IMSUM(IMPRODUCT(BF151,AI151),IMPRODUCT(BG151,AK151))</f>
        <v>-153.567261333488i</v>
      </c>
      <c r="BL151" s="5" t="str">
        <f>IMSUM(IMPRODUCT(BH151,AH151),IMPRODUCT(BI151,AJ151))</f>
        <v>-3.07134522666971E-003i</v>
      </c>
      <c r="BM151" s="5" t="str">
        <f>IMSUM(IMPRODUCT(BH151,AI151),IMPRODUCT(BI151,AK151))</f>
        <v>1.49824776993204</v>
      </c>
      <c r="BN151" s="4">
        <f t="shared" si="4"/>
        <v>500</v>
      </c>
      <c r="BO151" s="4">
        <v>1</v>
      </c>
      <c r="BP151" s="4" t="str">
        <f>IMSUM(IMPRODUCT($BJ151,$BN151),IMPRODUCT($BK151,$BO151))</f>
        <v>176.319943714851-153.567261333488i</v>
      </c>
      <c r="BQ151" s="4" t="str">
        <f>IMSUM(IMPRODUCT($BL151,$BN151),IMPRODUCT($BM151,$BO151))</f>
        <v>1.49824776993204-1.53567261333486i</v>
      </c>
      <c r="BR151" s="4" t="str">
        <f>IMDIV($BP151,$BQ151)</f>
        <v>108.623942532647+8.83936063990147i</v>
      </c>
      <c r="BS151" s="4" t="str">
        <f>IMDIV(IMSUB($BQ$100,$BR151),IMSUM($BQ$100,$BR151))</f>
        <v>-4.30551714229127E-002-4.05455881505924E-002i</v>
      </c>
      <c r="BT151" s="4">
        <f>IMABS($BS151)</f>
        <v>0.05914129272119319</v>
      </c>
      <c r="BU151" s="4">
        <f t="shared" si="5"/>
        <v>1.1257176922818608</v>
      </c>
      <c r="BV151" s="4">
        <f t="shared" si="6"/>
        <v>-0.015216913124139787</v>
      </c>
    </row>
    <row r="152" spans="1:74" ht="12.75">
      <c r="A152" s="5">
        <v>49</v>
      </c>
      <c r="B152" s="5">
        <f t="shared" si="1"/>
        <v>9.600000000000001</v>
      </c>
      <c r="C152" s="4">
        <f t="shared" si="7"/>
        <v>1.507964473723101</v>
      </c>
      <c r="D152" s="4">
        <f t="shared" si="2"/>
        <v>0.9980267284282716</v>
      </c>
      <c r="E152" s="5">
        <f t="shared" si="3"/>
        <v>0.06279051952931307</v>
      </c>
      <c r="F152" s="9" t="str">
        <f>IF($B$7&gt;0,COMPLEX($E152,0),1)</f>
        <v>6.27905195293131E-002</v>
      </c>
      <c r="G152" s="9" t="str">
        <f>IF($B$7&gt;0,COMPLEX(0,$D152*$B$16),0)</f>
        <v>119.345351035806i</v>
      </c>
      <c r="H152" s="9" t="str">
        <f>IF($B$7&gt;0,COMPLEX(0,$D152/$B$16),0)</f>
        <v>8.34600880564171E-003i</v>
      </c>
      <c r="I152" s="9" t="str">
        <f>IF($B$7&gt;0,COMPLEX($E152,0),1)</f>
        <v>6.27905195293131E-002</v>
      </c>
      <c r="J152" s="9" t="str">
        <f>IF($B$7&gt;1,COMPLEX($E152,0),1)</f>
        <v>6.27905195293131E-002</v>
      </c>
      <c r="K152" s="9" t="str">
        <f>IF($B$7&gt;1,COMPLEX(0,$D152*$B$17),0)</f>
        <v>142.714743083992i</v>
      </c>
      <c r="L152" s="9" t="str">
        <f>IF($B$7&gt;1,COMPLEX(0,$D152/$B$17),0)</f>
        <v>6.97935846803877E-003i</v>
      </c>
      <c r="M152" s="9" t="str">
        <f>IF($B$7&gt;1,COMPLEX($E152,0),1)</f>
        <v>6.27905195293131E-002</v>
      </c>
      <c r="N152" s="9" t="str">
        <f>IF($B$7&gt;2,COMPLEX($E152,0),1)</f>
        <v>6.27905195293131E-002</v>
      </c>
      <c r="O152" s="9" t="str">
        <f>IF($B$7&gt;2,COMPLEX(0,$D152*$B$18),0)</f>
        <v>170.660169975278i</v>
      </c>
      <c r="P152" s="9" t="str">
        <f>IF($B$7&gt;2,COMPLEX(0,$D152/$B$18),0)</f>
        <v>5.83649571426964E-003i</v>
      </c>
      <c r="Q152" s="9" t="str">
        <f>IF($B$7&gt;2,COMPLEX($E152,0),1)</f>
        <v>6.27905195293131E-002</v>
      </c>
      <c r="R152" s="9" t="str">
        <f>IF($B$7&gt;3,COMPLEX($E152,0),1)</f>
        <v>6.27905195293131E-002</v>
      </c>
      <c r="S152" s="9" t="str">
        <f>IF($B$7&gt;3,COMPLEX(0,$D152*$B$19),0)</f>
        <v>204.077679618915i</v>
      </c>
      <c r="T152" s="9" t="str">
        <f>IF($B$7&gt;3,COMPLEX(0,$D152/$B$19),0)</f>
        <v>4.88077555819542E-003i</v>
      </c>
      <c r="U152" s="9" t="str">
        <f>IF($B$7&gt;3,COMPLEX($E152,0),1)</f>
        <v>6.27905195293131E-002</v>
      </c>
      <c r="V152" s="9" t="str">
        <f>IF($B$7&gt;4,COMPLEX($E152,0),1)</f>
        <v>6.27905195293131E-002</v>
      </c>
      <c r="W152" s="9" t="str">
        <f>IF($B$7&gt;4,COMPLEX(0,$D152*$B$20),0)</f>
        <v>244.038777909771i</v>
      </c>
      <c r="X152" s="9" t="str">
        <f>IF($B$7&gt;4,COMPLEX(0,$D152/$B$20),0)</f>
        <v>4.08155359237831E-003i</v>
      </c>
      <c r="Y152" s="9" t="str">
        <f>IF($B$7&gt;4,COMPLEX($E152,0),1)</f>
        <v>6.27905195293131E-002</v>
      </c>
      <c r="Z152" s="9" t="str">
        <f>IF($B$7&gt;5,COMPLEX($E152,0),1)</f>
        <v>6.27905195293131E-002</v>
      </c>
      <c r="AA152" s="9" t="str">
        <f>IF($B$7&gt;5,COMPLEX(0,$D152*$B$21),0)</f>
        <v>291.824785713482i</v>
      </c>
      <c r="AB152" s="9" t="str">
        <f>IF($B$7&gt;5,COMPLEX(0,$D152/$B$21),0)</f>
        <v>3.41320339950556E-003i</v>
      </c>
      <c r="AC152" s="9" t="str">
        <f>IF($B$7&gt;5,COMPLEX($E152,0),1)</f>
        <v>6.27905195293131E-002</v>
      </c>
      <c r="AD152" s="9" t="str">
        <f>IF($B$7&gt;6,COMPLEX($E152,0),1)</f>
        <v>6.27905195293131E-002</v>
      </c>
      <c r="AE152" s="9" t="str">
        <f>IF($B$7&gt;6,COMPLEX(0,$D152*$B$22),0)</f>
        <v>348.967923401939i</v>
      </c>
      <c r="AF152" s="9" t="str">
        <f>IF($B$7&gt;6,COMPLEX(0,$D152/$B$22),0)</f>
        <v>2.85429486167984E-003i</v>
      </c>
      <c r="AG152" s="9" t="str">
        <f>IF($B$7&gt;6,COMPLEX($E152,0),1)</f>
        <v>6.27905195293131E-002</v>
      </c>
      <c r="AH152" s="9" t="str">
        <f>IF($B$7&gt;7,COMPLEX($E152,0),1)</f>
        <v>6.27905195293131E-002</v>
      </c>
      <c r="AI152" s="9" t="str">
        <f>IF($B$7&gt;7,COMPLEX(0,$D152*$B$23),0)</f>
        <v>417.300440282085i</v>
      </c>
      <c r="AJ152" s="9" t="str">
        <f>IF($B$7&gt;7,COMPLEX(0,$D152/$B$23),0)</f>
        <v>2.38690702071612E-003i</v>
      </c>
      <c r="AK152" s="9" t="str">
        <f>IF($B$7&gt;7,COMPLEX($E152,0),1)</f>
        <v>6.27905195293131E-002</v>
      </c>
      <c r="AL152" s="4" t="str">
        <f>IMSUM(IMPRODUCT(F152,J152),IMPRODUCT(G152,L152))</f>
        <v>-0.829011337030051</v>
      </c>
      <c r="AM152" s="5" t="str">
        <f>IMSUM(IMPRODUCT(F152,K152),IMPRODUCT(G152,M152))</f>
        <v>16.4548894576828i</v>
      </c>
      <c r="AN152" s="5" t="str">
        <f>IMSUM(IMPRODUCT(H152,J152),IMPRODUCT(I152,L152))</f>
        <v>9.6228777309193E-004i</v>
      </c>
      <c r="AO152" s="5" t="str">
        <f>IMSUM(IMPRODUCT(H152,K152),IMPRODUCT(I152,M152))</f>
        <v>-1.18715585313113</v>
      </c>
      <c r="AP152" s="4" t="str">
        <f>IMSUM(IMPRODUCT(AL152,N152),IMPRODUCT(AM152,P152))</f>
        <v>-0.148092944346354</v>
      </c>
      <c r="AQ152" s="5" t="str">
        <f>IMSUM(IMPRODUCT(AL152,O152),IMPRODUCT(AM152,Q152))</f>
        <v>-140.446004631136i</v>
      </c>
      <c r="AR152" s="5" t="str">
        <f>IMSUM(IMPRODUCT(AN152,N152),IMPRODUCT(AO152,P152))</f>
        <v>-6.86840749976081E-003i</v>
      </c>
      <c r="AS152" s="5" t="str">
        <f>IMSUM(IMPRODUCT(AN152,O152),IMPRODUCT(AO152,Q152))</f>
        <v>-0.23876632770137</v>
      </c>
      <c r="AT152" s="4" t="str">
        <f>IMSUM(IMPRODUCT(AP152,R152),IMPRODUCT(AQ152,T152))</f>
        <v>0.676186593735716</v>
      </c>
      <c r="AU152" s="5" t="str">
        <f>IMSUM(IMPRODUCT(AP152,S152),IMPRODUCT(AQ152,U152))</f>
        <v>-39.0411420467423i</v>
      </c>
      <c r="AV152" s="5" t="str">
        <f>IMSUM(IMPRODUCT(AR152,R152),IMPRODUCT(AS152,T152))</f>
        <v>-1.59663573161393E-003i</v>
      </c>
      <c r="AW152" s="5" t="str">
        <f>IMSUM(IMPRODUCT(AR152,S152),IMPRODUCT(AS152,U152))</f>
        <v>1.38669640346586</v>
      </c>
      <c r="AX152" s="4" t="str">
        <f>IMSUM(IMPRODUCT(AT152,V152),IMPRODUCT(AU152,X152))</f>
        <v>0.201806621090855</v>
      </c>
      <c r="AY152" s="5" t="str">
        <f>IMSUM(IMPRODUCT(AT152,W152),IMPRODUCT(AU152,Y152))</f>
        <v>162.564336382102i</v>
      </c>
      <c r="AZ152" s="5" t="str">
        <f>IMSUM(IMPRODUCT(AV152,V152),IMPRODUCT(AW152,X152))</f>
        <v>5.55962210001706E-003i</v>
      </c>
      <c r="BA152" s="5" t="str">
        <f>IMSUM(IMPRODUCT(AV152,W152),IMPRODUCT(AW152,Y152))</f>
        <v>0.476712420313188</v>
      </c>
      <c r="BB152" s="4" t="str">
        <f>IMSUM(IMPRODUCT(AX152,Z152),IMPRODUCT(AY152,AB152))</f>
        <v>-0.542193602995006</v>
      </c>
      <c r="BC152" s="5" t="str">
        <f>IMSUM(IMPRODUCT(AX152,AA152),IMPRODUCT(AY152,AC152))</f>
        <v>69.0996730937708i</v>
      </c>
      <c r="BD152" s="5" t="str">
        <f>IMSUM(IMPRODUCT(AZ152,Z152),IMPRODUCT(BA152,AB152))</f>
        <v>1.97620801364622E-003i</v>
      </c>
      <c r="BE152" s="5" t="str">
        <f>IMSUM(IMPRODUCT(AZ152,AA152),IMPRODUCT(BA152,AC152))</f>
        <v>-1.59250250744788</v>
      </c>
      <c r="BF152" s="4" t="str">
        <f>IMSUM(IMPRODUCT(BB152,AD152),IMPRODUCT(BC152,AF152))</f>
        <v>-0.231275459872834</v>
      </c>
      <c r="BG152" s="5" t="str">
        <f>IMSUM(IMPRODUCT(BB152,AE152),IMPRODUCT(BC152,AG152))</f>
        <v>-184.869371346119i</v>
      </c>
      <c r="BH152" s="5" t="str">
        <f>IMSUM(IMPRODUCT(BD152,AD152),IMPRODUCT(BE152,AF152))</f>
        <v>-4.42138459634591E-003i</v>
      </c>
      <c r="BI152" s="5" t="str">
        <f>IMSUM(IMPRODUCT(BD152,AE152),IMPRODUCT(BE152,AG152))</f>
        <v>-0.789627266526778</v>
      </c>
      <c r="BJ152" s="4" t="str">
        <f>IMSUM(IMPRODUCT(BF152,AH152),IMPRODUCT(BG152,AJ152))</f>
        <v>0.426744094101631</v>
      </c>
      <c r="BK152" s="5" t="str">
        <f>IMSUM(IMPRODUCT(BF152,AI152),IMPRODUCT(BG152,AK152))</f>
        <v>-108.119395103256i</v>
      </c>
      <c r="BL152" s="5" t="str">
        <f>IMSUM(IMPRODUCT(BH152,AH152),IMPRODUCT(BI152,AJ152))</f>
        <v>-2.16238790206511E-003i</v>
      </c>
      <c r="BM152" s="5" t="str">
        <f>IMSUM(IMPRODUCT(BH152,AI152),IMPRODUCT(BI152,AK152))</f>
        <v>1.79546463241185</v>
      </c>
      <c r="BN152" s="4">
        <f t="shared" si="4"/>
        <v>500</v>
      </c>
      <c r="BO152" s="4">
        <v>1</v>
      </c>
      <c r="BP152" s="4" t="str">
        <f>IMSUM(IMPRODUCT($BJ152,$BN152),IMPRODUCT($BK152,$BO152))</f>
        <v>213.372047050816-108.119395103256i</v>
      </c>
      <c r="BQ152" s="4" t="str">
        <f>IMSUM(IMPRODUCT($BL152,$BN152),IMPRODUCT($BM152,$BO152))</f>
        <v>1.79546463241185-1.08119395103256i</v>
      </c>
      <c r="BR152" s="4" t="str">
        <f>IMDIV($BP152,$BQ152)</f>
        <v>113.825893942596+8.32568496672209i</v>
      </c>
      <c r="BS152" s="4" t="str">
        <f>IMDIV(IMSUB($BQ$100,$BR152),IMSUM($BQ$100,$BR152))</f>
        <v>-6.60754820400926E-002-3.63639836872115E-002i</v>
      </c>
      <c r="BT152" s="4">
        <f>IMABS($BS152)</f>
        <v>0.07542087666179957</v>
      </c>
      <c r="BU152" s="4">
        <f t="shared" si="5"/>
        <v>1.1631463976592764</v>
      </c>
      <c r="BV152" s="4">
        <f t="shared" si="6"/>
        <v>-0.024774540129819764</v>
      </c>
    </row>
    <row r="153" spans="1:74" ht="12.75">
      <c r="A153" s="5">
        <v>50</v>
      </c>
      <c r="B153" s="5">
        <f t="shared" si="1"/>
        <v>9.8</v>
      </c>
      <c r="C153" s="4">
        <f t="shared" si="7"/>
        <v>1.5393804002589988</v>
      </c>
      <c r="D153" s="4">
        <f t="shared" si="2"/>
        <v>0.9995065603657315</v>
      </c>
      <c r="E153" s="5">
        <f t="shared" si="3"/>
        <v>0.031410759078128174</v>
      </c>
      <c r="F153" s="9" t="str">
        <f>IF($B$7&gt;0,COMPLEX($E153,0),1)</f>
        <v>3.14107590781282E-002</v>
      </c>
      <c r="G153" s="9" t="str">
        <f>IF($B$7&gt;0,COMPLEX(0,$D153*$B$16),0)</f>
        <v>119.522311288492i</v>
      </c>
      <c r="H153" s="9" t="str">
        <f>IF($B$7&gt;0,COMPLEX(0,$D153/$B$16),0)</f>
        <v>8.35838391547505E-003i</v>
      </c>
      <c r="I153" s="9" t="str">
        <f>IF($B$7&gt;0,COMPLEX($E153,0),1)</f>
        <v>3.14107590781282E-002</v>
      </c>
      <c r="J153" s="9" t="str">
        <f>IF($B$7&gt;1,COMPLEX($E153,0),1)</f>
        <v>3.14107590781282E-002</v>
      </c>
      <c r="K153" s="9" t="str">
        <f>IF($B$7&gt;1,COMPLEX(0,$D153*$B$17),0)</f>
        <v>142.926354485517i</v>
      </c>
      <c r="L153" s="9" t="str">
        <f>IF($B$7&gt;1,COMPLEX(0,$D153/$B$17),0)</f>
        <v>6.98970716639503E-003i</v>
      </c>
      <c r="M153" s="9" t="str">
        <f>IF($B$7&gt;1,COMPLEX($E153,0),1)</f>
        <v>3.14107590781282E-002</v>
      </c>
      <c r="N153" s="9" t="str">
        <f>IF($B$7&gt;2,COMPLEX($E153,0),1)</f>
        <v>3.14107590781282E-002</v>
      </c>
      <c r="O153" s="9" t="str">
        <f>IF($B$7&gt;2,COMPLEX(0,$D153*$B$18),0)</f>
        <v>170.913217677096i</v>
      </c>
      <c r="P153" s="9" t="str">
        <f>IF($B$7&gt;2,COMPLEX(0,$D153/$B$18),0)</f>
        <v>5.84514982393906E-003i</v>
      </c>
      <c r="Q153" s="9" t="str">
        <f>IF($B$7&gt;2,COMPLEX($E153,0),1)</f>
        <v>3.14107590781282E-002</v>
      </c>
      <c r="R153" s="9" t="str">
        <f>IF($B$7&gt;3,COMPLEX($E153,0),1)</f>
        <v>3.14107590781282E-002</v>
      </c>
      <c r="S153" s="9" t="str">
        <f>IF($B$7&gt;3,COMPLEX(0,$D153*$B$19),0)</f>
        <v>204.380277394527i</v>
      </c>
      <c r="T153" s="9" t="str">
        <f>IF($B$7&gt;3,COMPLEX(0,$D153/$B$19),0)</f>
        <v>4.88801256632843E-003i</v>
      </c>
      <c r="U153" s="9" t="str">
        <f>IF($B$7&gt;3,COMPLEX($E153,0),1)</f>
        <v>3.14107590781282E-002</v>
      </c>
      <c r="V153" s="9" t="str">
        <f>IF($B$7&gt;4,COMPLEX($E153,0),1)</f>
        <v>3.14107590781282E-002</v>
      </c>
      <c r="W153" s="9" t="str">
        <f>IF($B$7&gt;4,COMPLEX(0,$D153*$B$20),0)</f>
        <v>244.400628316421i</v>
      </c>
      <c r="X153" s="9" t="str">
        <f>IF($B$7&gt;4,COMPLEX(0,$D153/$B$20),0)</f>
        <v>4.08760554789053E-003i</v>
      </c>
      <c r="Y153" s="9" t="str">
        <f>IF($B$7&gt;4,COMPLEX($E153,0),1)</f>
        <v>3.14107590781282E-002</v>
      </c>
      <c r="Z153" s="9" t="str">
        <f>IF($B$7&gt;5,COMPLEX($E153,0),1)</f>
        <v>3.14107590781282E-002</v>
      </c>
      <c r="AA153" s="9" t="str">
        <f>IF($B$7&gt;5,COMPLEX(0,$D153*$B$21),0)</f>
        <v>292.257491196953i</v>
      </c>
      <c r="AB153" s="9" t="str">
        <f>IF($B$7&gt;5,COMPLEX(0,$D153/$B$21),0)</f>
        <v>3.41826435354192E-003i</v>
      </c>
      <c r="AC153" s="9" t="str">
        <f>IF($B$7&gt;5,COMPLEX($E153,0),1)</f>
        <v>3.14107590781282E-002</v>
      </c>
      <c r="AD153" s="9" t="str">
        <f>IF($B$7&gt;6,COMPLEX($E153,0),1)</f>
        <v>3.14107590781282E-002</v>
      </c>
      <c r="AE153" s="9" t="str">
        <f>IF($B$7&gt;6,COMPLEX(0,$D153*$B$22),0)</f>
        <v>349.485358319751i</v>
      </c>
      <c r="AF153" s="9" t="str">
        <f>IF($B$7&gt;6,COMPLEX(0,$D153/$B$22),0)</f>
        <v>2.85852708971034E-003i</v>
      </c>
      <c r="AG153" s="9" t="str">
        <f>IF($B$7&gt;6,COMPLEX($E153,0),1)</f>
        <v>3.14107590781282E-002</v>
      </c>
      <c r="AH153" s="9" t="str">
        <f>IF($B$7&gt;7,COMPLEX($E153,0),1)</f>
        <v>3.14107590781282E-002</v>
      </c>
      <c r="AI153" s="9" t="str">
        <f>IF($B$7&gt;7,COMPLEX(0,$D153*$B$23),0)</f>
        <v>417.919195773752i</v>
      </c>
      <c r="AJ153" s="9" t="str">
        <f>IF($B$7&gt;7,COMPLEX(0,$D153/$B$23),0)</f>
        <v>2.39044622576985E-003i</v>
      </c>
      <c r="AK153" s="9" t="str">
        <f>IF($B$7&gt;7,COMPLEX($E153,0),1)</f>
        <v>3.14107590781282E-002</v>
      </c>
      <c r="AL153" s="4" t="str">
        <f>IMSUM(IMPRODUCT(F153,J153),IMPRODUCT(G153,L153))</f>
        <v>-0.834439319971406</v>
      </c>
      <c r="AM153" s="5" t="str">
        <f>IMSUM(IMPRODUCT(F153,K153),IMPRODUCT(G153,M153))</f>
        <v>8.24371181100359i</v>
      </c>
      <c r="AN153" s="5" t="str">
        <f>IMSUM(IMPRODUCT(H153,J153),IMPRODUCT(I153,L153))</f>
        <v>4.82095191281789E-004i</v>
      </c>
      <c r="AO153" s="5" t="str">
        <f>IMSUM(IMPRODUCT(H153,K153),IMPRODUCT(I153,M153))</f>
        <v>-1.19364670664337</v>
      </c>
      <c r="AP153" s="4" t="str">
        <f>IMSUM(IMPRODUCT(AL153,N153),IMPRODUCT(AM153,P153))</f>
        <v>-7.4396103085631E-002</v>
      </c>
      <c r="AQ153" s="5" t="str">
        <f>IMSUM(IMPRODUCT(AL153,O153),IMPRODUCT(AM153,Q153))</f>
        <v>-142.357767886996i</v>
      </c>
      <c r="AR153" s="5" t="str">
        <f>IMSUM(IMPRODUCT(AN153,N153),IMPRODUCT(AO153,P153))</f>
        <v>-6.96190086127585E-003i</v>
      </c>
      <c r="AS153" s="5" t="str">
        <f>IMSUM(IMPRODUCT(AN153,O153),IMPRODUCT(AO153,Q153))</f>
        <v>-0.119889789495402</v>
      </c>
      <c r="AT153" s="4" t="str">
        <f>IMSUM(IMPRODUCT(AP153,R153),IMPRODUCT(AQ153,T153))</f>
        <v>0.693509720275728</v>
      </c>
      <c r="AU153" s="5" t="str">
        <f>IMSUM(IMPRODUCT(AP153,S153),IMPRODUCT(AQ153,U153))</f>
        <v>-19.6766617357116i</v>
      </c>
      <c r="AV153" s="5" t="str">
        <f>IMSUM(IMPRODUCT(AR153,R153),IMPRODUCT(AS153,T153))</f>
        <v>-8.04701388307344E-004i</v>
      </c>
      <c r="AW153" s="5" t="str">
        <f>IMSUM(IMPRODUCT(AR153,S153),IMPRODUCT(AS153,U153))</f>
        <v>1.41910939992698</v>
      </c>
      <c r="AX153" s="4" t="str">
        <f>IMSUM(IMPRODUCT(AT153,V153),IMPRODUCT(AU153,X153))</f>
        <v>0.102214098416781</v>
      </c>
      <c r="AY153" s="5" t="str">
        <f>IMSUM(IMPRODUCT(AT153,W153),IMPRODUCT(AU153,Y153))</f>
        <v>168.876152497691i</v>
      </c>
      <c r="AZ153" s="5" t="str">
        <f>IMSUM(IMPRODUCT(AV153,V153),IMPRODUCT(AW153,X153))</f>
        <v>5.77548317476716E-003i</v>
      </c>
      <c r="BA153" s="5" t="str">
        <f>IMSUM(IMPRODUCT(AV153,W153),IMPRODUCT(AW153,Y153))</f>
        <v>0.241244828376025</v>
      </c>
      <c r="BB153" s="4" t="str">
        <f>IMSUM(IMPRODUCT(AX153,Z153),IMPRODUCT(AY153,AB153))</f>
        <v>-0.574052709826408</v>
      </c>
      <c r="BC153" s="5" t="str">
        <f>IMSUM(IMPRODUCT(AX153,AA153),IMPRODUCT(AY153,AC153))</f>
        <v>35.1773641083931i</v>
      </c>
      <c r="BD153" s="5" t="str">
        <f>IMSUM(IMPRODUCT(AZ153,Z153),IMPRODUCT(BA153,AB153))</f>
        <v>1.0060509078765E-003i</v>
      </c>
      <c r="BE153" s="5" t="str">
        <f>IMSUM(IMPRODUCT(AZ153,AA153),IMPRODUCT(BA153,AC153))</f>
        <v>-1.6803505399247</v>
      </c>
      <c r="BF153" s="4" t="str">
        <f>IMSUM(IMPRODUCT(BB153,AD153),IMPRODUCT(BC153,AF153))</f>
        <v>-0.11858687961495</v>
      </c>
      <c r="BG153" s="5" t="str">
        <f>IMSUM(IMPRODUCT(BB153,AE153),IMPRODUCT(BC153,AG153))</f>
        <v>-199.518069279094i</v>
      </c>
      <c r="BH153" s="5" t="str">
        <f>IMSUM(IMPRODUCT(BD153,AD153),IMPRODUCT(BE153,AF153))</f>
        <v>-4.77172671589651E-003i</v>
      </c>
      <c r="BI153" s="5" t="str">
        <f>IMSUM(IMPRODUCT(BD153,AE153),IMPRODUCT(BE153,AG153))</f>
        <v>-0.404381148003506</v>
      </c>
      <c r="BJ153" s="4" t="str">
        <f>IMSUM(IMPRODUCT(BF153,AH153),IMPRODUCT(BG153,AJ153))</f>
        <v>0.473212311775686</v>
      </c>
      <c r="BK153" s="5" t="str">
        <f>IMSUM(IMPRODUCT(BF153,AI153),IMPRODUCT(BG153,AK153))</f>
        <v>-55.8267473638575i</v>
      </c>
      <c r="BL153" s="5" t="str">
        <f>IMSUM(IMPRODUCT(BH153,AH153),IMPRODUCT(BI153,AJ153))</f>
        <v>-1.11653494727715E-003i</v>
      </c>
      <c r="BM153" s="5" t="str">
        <f>IMSUM(IMPRODUCT(BH153,AI153),IMPRODUCT(BI153,AK153))</f>
        <v>1.98149427274393</v>
      </c>
      <c r="BN153" s="4">
        <f t="shared" si="4"/>
        <v>500</v>
      </c>
      <c r="BO153" s="4">
        <v>1</v>
      </c>
      <c r="BP153" s="4" t="str">
        <f>IMSUM(IMPRODUCT($BJ153,$BN153),IMPRODUCT($BK153,$BO153))</f>
        <v>236.606155887843-55.8267473638575i</v>
      </c>
      <c r="BQ153" s="4" t="str">
        <f>IMSUM(IMPRODUCT($BL153,$BN153),IMPRODUCT($BM153,$BO153))</f>
        <v>1.98149427274393-0.558267473638575i</v>
      </c>
      <c r="BR153" s="4" t="str">
        <f>IMDIV($BP153,$BQ153)</f>
        <v>117.98067694665+5.06588751297138i</v>
      </c>
      <c r="BS153" s="4" t="str">
        <f>IMDIV(IMSUB($BQ$100,$BR153),IMSUM($BQ$100,$BR153))</f>
        <v>-8.29827630447539E-002-2.13115503398866E-002i</v>
      </c>
      <c r="BT153" s="4">
        <f>IMABS($BS153)</f>
        <v>0.08567567414634854</v>
      </c>
      <c r="BU153" s="4">
        <f t="shared" si="5"/>
        <v>1.187407622708404</v>
      </c>
      <c r="BV153" s="4">
        <f t="shared" si="6"/>
        <v>-0.0319961849968857</v>
      </c>
    </row>
    <row r="154" spans="1:74" ht="12.75">
      <c r="A154" s="5">
        <v>51</v>
      </c>
      <c r="B154" s="5">
        <f t="shared" si="1"/>
        <v>10</v>
      </c>
      <c r="C154" s="4">
        <f t="shared" si="7"/>
        <v>1.5707963267948966</v>
      </c>
      <c r="D154" s="4">
        <f t="shared" si="2"/>
        <v>1</v>
      </c>
      <c r="E154" s="5">
        <f t="shared" si="3"/>
        <v>6.1257422745431E-17</v>
      </c>
      <c r="F154" s="9" t="str">
        <f>IF($B$7&gt;0,COMPLEX($E154,0),1)</f>
        <v>6.1257422745431E-017</v>
      </c>
      <c r="G154" s="9" t="str">
        <f>IF($B$7&gt;0,COMPLEX(0,$D154*$B$16),0)</f>
        <v>119.58131745004i</v>
      </c>
      <c r="H154" s="9" t="str">
        <f>IF($B$7&gt;0,COMPLEX(0,$D154/$B$16),0)</f>
        <v>8.36251030950374E-003i</v>
      </c>
      <c r="I154" s="9" t="str">
        <f>IF($B$7&gt;0,COMPLEX($E154,0),1)</f>
        <v>6.1257422745431E-017</v>
      </c>
      <c r="J154" s="9" t="str">
        <f>IF($B$7&gt;1,COMPLEX($E154,0),1)</f>
        <v>6.1257422745431E-017</v>
      </c>
      <c r="K154" s="9" t="str">
        <f>IF($B$7&gt;1,COMPLEX(0,$D154*$B$17),0)</f>
        <v>142.996914830873i</v>
      </c>
      <c r="L154" s="9" t="str">
        <f>IF($B$7&gt;1,COMPLEX(0,$D154/$B$17),0)</f>
        <v>6.99315786765562E-003i</v>
      </c>
      <c r="M154" s="9" t="str">
        <f>IF($B$7&gt;1,COMPLEX($E154,0),1)</f>
        <v>6.1257422745431E-017</v>
      </c>
      <c r="N154" s="9" t="str">
        <f>IF($B$7&gt;2,COMPLEX($E154,0),1)</f>
        <v>6.1257422745431E-017</v>
      </c>
      <c r="O154" s="9" t="str">
        <f>IF($B$7&gt;2,COMPLEX(0,$D154*$B$18),0)</f>
        <v>170.99759466767i</v>
      </c>
      <c r="P154" s="9" t="str">
        <f>IF($B$7&gt;2,COMPLEX(0,$D154/$B$18),0)</f>
        <v>5.84803547642573E-003i</v>
      </c>
      <c r="Q154" s="9" t="str">
        <f>IF($B$7&gt;2,COMPLEX($E154,0),1)</f>
        <v>6.1257422745431E-017</v>
      </c>
      <c r="R154" s="9" t="str">
        <f>IF($B$7&gt;3,COMPLEX($E154,0),1)</f>
        <v>6.1257422745431E-017</v>
      </c>
      <c r="S154" s="9" t="str">
        <f>IF($B$7&gt;3,COMPLEX(0,$D154*$B$19),0)</f>
        <v>204.481176511479i</v>
      </c>
      <c r="T154" s="9" t="str">
        <f>IF($B$7&gt;3,COMPLEX(0,$D154/$B$19),0)</f>
        <v>4.89042569619538E-003i</v>
      </c>
      <c r="U154" s="9" t="str">
        <f>IF($B$7&gt;3,COMPLEX($E154,0),1)</f>
        <v>6.1257422745431E-017</v>
      </c>
      <c r="V154" s="9" t="str">
        <f>IF($B$7&gt;4,COMPLEX($E154,0),1)</f>
        <v>6.1257422745431E-017</v>
      </c>
      <c r="W154" s="9" t="str">
        <f>IF($B$7&gt;4,COMPLEX(0,$D154*$B$20),0)</f>
        <v>244.521284809769i</v>
      </c>
      <c r="X154" s="9" t="str">
        <f>IF($B$7&gt;4,COMPLEX(0,$D154/$B$20),0)</f>
        <v>4.08962353022958E-003i</v>
      </c>
      <c r="Y154" s="9" t="str">
        <f>IF($B$7&gt;4,COMPLEX($E154,0),1)</f>
        <v>6.1257422745431E-017</v>
      </c>
      <c r="Z154" s="9" t="str">
        <f>IF($B$7&gt;5,COMPLEX($E154,0),1)</f>
        <v>6.1257422745431E-017</v>
      </c>
      <c r="AA154" s="9" t="str">
        <f>IF($B$7&gt;5,COMPLEX(0,$D154*$B$21),0)</f>
        <v>292.401773821287i</v>
      </c>
      <c r="AB154" s="9" t="str">
        <f>IF($B$7&gt;5,COMPLEX(0,$D154/$B$21),0)</f>
        <v>3.41995189335339E-003i</v>
      </c>
      <c r="AC154" s="9" t="str">
        <f>IF($B$7&gt;5,COMPLEX($E154,0),1)</f>
        <v>6.1257422745431E-017</v>
      </c>
      <c r="AD154" s="9" t="str">
        <f>IF($B$7&gt;6,COMPLEX($E154,0),1)</f>
        <v>6.1257422745431E-017</v>
      </c>
      <c r="AE154" s="9" t="str">
        <f>IF($B$7&gt;6,COMPLEX(0,$D154*$B$22),0)</f>
        <v>349.657893382781i</v>
      </c>
      <c r="AF154" s="9" t="str">
        <f>IF($B$7&gt;6,COMPLEX(0,$D154/$B$22),0)</f>
        <v>2.85993829661746E-003i</v>
      </c>
      <c r="AG154" s="9" t="str">
        <f>IF($B$7&gt;6,COMPLEX($E154,0),1)</f>
        <v>6.1257422745431E-017</v>
      </c>
      <c r="AH154" s="9" t="str">
        <f>IF($B$7&gt;7,COMPLEX($E154,0),1)</f>
        <v>6.1257422745431E-017</v>
      </c>
      <c r="AI154" s="9" t="str">
        <f>IF($B$7&gt;7,COMPLEX(0,$D154*$B$23),0)</f>
        <v>418.125515475187i</v>
      </c>
      <c r="AJ154" s="9" t="str">
        <f>IF($B$7&gt;7,COMPLEX(0,$D154/$B$23),0)</f>
        <v>2.3916263490008E-003i</v>
      </c>
      <c r="AK154" s="9" t="str">
        <f>IF($B$7&gt;7,COMPLEX($E154,0),1)</f>
        <v>6.1257422745431E-017</v>
      </c>
      <c r="AL154" s="4" t="str">
        <f>IMSUM(IMPRODUCT(F154,J154),IMPRODUCT(G154,L154))</f>
        <v>-0.836251030950372</v>
      </c>
      <c r="AM154" s="5" t="str">
        <f>IMSUM(IMPRODUCT(F154,K154),IMPRODUCT(G154,M154))</f>
        <v>1.60848657785799E-014i</v>
      </c>
      <c r="AN154" s="5" t="str">
        <f>IMSUM(IMPRODUCT(H154,J154),IMPRODUCT(I154,L154))</f>
        <v>9.40648657066813E-019i</v>
      </c>
      <c r="AO154" s="5" t="str">
        <f>IMSUM(IMPRODUCT(H154,K154),IMPRODUCT(I154,M154))</f>
        <v>-1.1958131745004</v>
      </c>
      <c r="AP154" s="4" t="str">
        <f>IMSUM(IMPRODUCT(AL154,N154),IMPRODUCT(AM154,P154))</f>
        <v>-1.45291448630911E-016</v>
      </c>
      <c r="AQ154" s="5" t="str">
        <f>IMSUM(IMPRODUCT(AL154,O154),IMPRODUCT(AM154,Q154))</f>
        <v>-142.996914830873i</v>
      </c>
      <c r="AR154" s="5" t="str">
        <f>IMSUM(IMPRODUCT(AN154,N154),IMPRODUCT(AO154,P154))</f>
        <v>-6.99315786765561E-003i</v>
      </c>
      <c r="AS154" s="5" t="str">
        <f>IMSUM(IMPRODUCT(AN154,O154),IMPRODUCT(AO154,Q154))</f>
        <v>-2.34101090940726E-016</v>
      </c>
      <c r="AT154" s="4" t="str">
        <f>IMSUM(IMPRODUCT(AP154,R154),IMPRODUCT(AQ154,T154))</f>
        <v>0.699315786765564</v>
      </c>
      <c r="AU154" s="5" t="str">
        <f>IMSUM(IMPRODUCT(AP154,S154),IMPRODUCT(AQ154,U154))</f>
        <v>-3.8468988816193E-014i</v>
      </c>
      <c r="AV154" s="5" t="str">
        <f>IMSUM(IMPRODUCT(AR154,R154),IMPRODUCT(AS154,T154))</f>
        <v>-1.57323681846842E-018i</v>
      </c>
      <c r="AW154" s="5" t="str">
        <f>IMSUM(IMPRODUCT(AR154,S154),IMPRODUCT(AS154,U154))</f>
        <v>1.42996914830872</v>
      </c>
      <c r="AX154" s="4" t="str">
        <f>IMSUM(IMPRODUCT(AT154,V154),IMPRODUCT(AU154,X154))</f>
        <v>2.00161964629293E-016</v>
      </c>
      <c r="AY154" s="5" t="str">
        <f>IMSUM(IMPRODUCT(AT154,W154),IMPRODUCT(AU154,Y154))</f>
        <v>170.99759466767i</v>
      </c>
      <c r="AZ154" s="5" t="str">
        <f>IMSUM(IMPRODUCT(AV154,V154),IMPRODUCT(AW154,X154))</f>
        <v>5.84803547642569E-003i</v>
      </c>
      <c r="BA154" s="5" t="str">
        <f>IMSUM(IMPRODUCT(AV154,W154),IMPRODUCT(AW154,Y154))</f>
        <v>4.72286112792802E-016</v>
      </c>
      <c r="BB154" s="4" t="str">
        <f>IMSUM(IMPRODUCT(AX154,Z154),IMPRODUCT(AY154,AB154))</f>
        <v>-0.584803547642574</v>
      </c>
      <c r="BC154" s="5" t="str">
        <f>IMSUM(IMPRODUCT(AX154,AA154),IMPRODUCT(AY154,AC154))</f>
        <v>6.90025854541683E-014i</v>
      </c>
      <c r="BD154" s="5" t="str">
        <f>IMSUM(IMPRODUCT(AZ154,Z154),IMPRODUCT(BA154,AB154))</f>
        <v>1.97343136705995E-018i</v>
      </c>
      <c r="BE154" s="5" t="str">
        <f>IMSUM(IMPRODUCT(AZ154,AA154),IMPRODUCT(BA154,AC154))</f>
        <v>-1.70997594667669</v>
      </c>
      <c r="BF154" s="4" t="str">
        <f>IMSUM(IMPRODUCT(BB154,AD154),IMPRODUCT(BC154,AF154))</f>
        <v>-2.33166694846964E-016</v>
      </c>
      <c r="BG154" s="5" t="str">
        <f>IMSUM(IMPRODUCT(BB154,AE154),IMPRODUCT(BC154,AG154))</f>
        <v>-204.481176511479i</v>
      </c>
      <c r="BH154" s="5" t="str">
        <f>IMSUM(IMPRODUCT(BD154,AD154),IMPRODUCT(BE154,AF154))</f>
        <v>-4.89042569619536E-003i</v>
      </c>
      <c r="BI154" s="5" t="str">
        <f>IMSUM(IMPRODUCT(BD154,AE154),IMPRODUCT(BE154,AG154))</f>
        <v>-7.94774573991777E-016</v>
      </c>
      <c r="BJ154" s="4" t="str">
        <f>IMSUM(IMPRODUCT(BF154,AH154),IMPRODUCT(BG154,AJ154))</f>
        <v>0.489042569619537</v>
      </c>
      <c r="BK154" s="5" t="str">
        <f>IMSUM(IMPRODUCT(BF154,AI154),IMPRODUCT(BG154,AK154))</f>
        <v>-1.10018934347579E-013i</v>
      </c>
      <c r="BL154" s="5" t="str">
        <f>IMSUM(IMPRODUCT(BH154,AH154),IMPRODUCT(BI154,AJ154))</f>
        <v>-2.20037868695158E-018i</v>
      </c>
      <c r="BM154" s="5" t="str">
        <f>IMSUM(IMPRODUCT(BH154,AI154),IMPRODUCT(BI154,AK154))</f>
        <v>2.04481176511479</v>
      </c>
      <c r="BN154" s="4">
        <f t="shared" si="4"/>
        <v>500</v>
      </c>
      <c r="BO154" s="4">
        <v>1</v>
      </c>
      <c r="BP154" s="4" t="str">
        <f>IMSUM(IMPRODUCT($BJ154,$BN154),IMPRODUCT($BK154,$BO154))</f>
        <v>244.521284809769-1.10018934347579E-013i</v>
      </c>
      <c r="BQ154" s="4" t="str">
        <f>IMSUM(IMPRODUCT($BL154,$BN154),IMPRODUCT($BM154,$BO154))</f>
        <v>2.04481176511479-1.10018934347579E-015i</v>
      </c>
      <c r="BR154" s="4" t="str">
        <f>IMDIV($BP154,$BQ154)</f>
        <v>119.58131745004+1.05355207541764E-014i</v>
      </c>
      <c r="BS154" s="4" t="str">
        <f>IMDIV(IMSUB($BQ$100,$BR154),IMSUM($BQ$100,$BR154))</f>
        <v>-8.91756989047815E-002-4.37013878914367E-017i</v>
      </c>
      <c r="BT154" s="4">
        <f>IMABS($BS154)</f>
        <v>0.0891756989047815</v>
      </c>
      <c r="BU154" s="4">
        <f t="shared" si="5"/>
        <v>1.1958131745004001</v>
      </c>
      <c r="BV154" s="4">
        <f t="shared" si="6"/>
        <v>-0.034674477471477</v>
      </c>
    </row>
    <row r="155" spans="1:74" ht="12.75">
      <c r="A155" s="5">
        <v>52</v>
      </c>
      <c r="B155" s="5">
        <f t="shared" si="1"/>
        <v>10.200000000000001</v>
      </c>
      <c r="C155" s="4">
        <f t="shared" si="7"/>
        <v>1.6022122533307945</v>
      </c>
      <c r="D155" s="4">
        <f t="shared" si="2"/>
        <v>0.9995065603657315</v>
      </c>
      <c r="E155" s="5">
        <f t="shared" si="3"/>
        <v>-0.03141075907812827</v>
      </c>
      <c r="F155" s="9" t="str">
        <f>IF($B$7&gt;0,COMPLEX($E155,0),1)</f>
        <v>-3.14107590781283E-002</v>
      </c>
      <c r="G155" s="9" t="str">
        <f>IF($B$7&gt;0,COMPLEX(0,$D155*$B$16),0)</f>
        <v>119.522311288492i</v>
      </c>
      <c r="H155" s="9" t="str">
        <f>IF($B$7&gt;0,COMPLEX(0,$D155/$B$16),0)</f>
        <v>8.35838391547505E-003i</v>
      </c>
      <c r="I155" s="9" t="str">
        <f>IF($B$7&gt;0,COMPLEX($E155,0),1)</f>
        <v>-3.14107590781283E-002</v>
      </c>
      <c r="J155" s="9" t="str">
        <f>IF($B$7&gt;1,COMPLEX($E155,0),1)</f>
        <v>-3.14107590781283E-002</v>
      </c>
      <c r="K155" s="9" t="str">
        <f>IF($B$7&gt;1,COMPLEX(0,$D155*$B$17),0)</f>
        <v>142.926354485517i</v>
      </c>
      <c r="L155" s="9" t="str">
        <f>IF($B$7&gt;1,COMPLEX(0,$D155/$B$17),0)</f>
        <v>6.98970716639503E-003i</v>
      </c>
      <c r="M155" s="9" t="str">
        <f>IF($B$7&gt;1,COMPLEX($E155,0),1)</f>
        <v>-3.14107590781283E-002</v>
      </c>
      <c r="N155" s="9" t="str">
        <f>IF($B$7&gt;2,COMPLEX($E155,0),1)</f>
        <v>-3.14107590781283E-002</v>
      </c>
      <c r="O155" s="9" t="str">
        <f>IF($B$7&gt;2,COMPLEX(0,$D155*$B$18),0)</f>
        <v>170.913217677096i</v>
      </c>
      <c r="P155" s="9" t="str">
        <f>IF($B$7&gt;2,COMPLEX(0,$D155/$B$18),0)</f>
        <v>5.84514982393906E-003i</v>
      </c>
      <c r="Q155" s="9" t="str">
        <f>IF($B$7&gt;2,COMPLEX($E155,0),1)</f>
        <v>-3.14107590781283E-002</v>
      </c>
      <c r="R155" s="9" t="str">
        <f>IF($B$7&gt;3,COMPLEX($E155,0),1)</f>
        <v>-3.14107590781283E-002</v>
      </c>
      <c r="S155" s="9" t="str">
        <f>IF($B$7&gt;3,COMPLEX(0,$D155*$B$19),0)</f>
        <v>204.380277394527i</v>
      </c>
      <c r="T155" s="9" t="str">
        <f>IF($B$7&gt;3,COMPLEX(0,$D155/$B$19),0)</f>
        <v>4.88801256632843E-003i</v>
      </c>
      <c r="U155" s="9" t="str">
        <f>IF($B$7&gt;3,COMPLEX($E155,0),1)</f>
        <v>-3.14107590781283E-002</v>
      </c>
      <c r="V155" s="9" t="str">
        <f>IF($B$7&gt;4,COMPLEX($E155,0),1)</f>
        <v>-3.14107590781283E-002</v>
      </c>
      <c r="W155" s="9" t="str">
        <f>IF($B$7&gt;4,COMPLEX(0,$D155*$B$20),0)</f>
        <v>244.400628316421i</v>
      </c>
      <c r="X155" s="9" t="str">
        <f>IF($B$7&gt;4,COMPLEX(0,$D155/$B$20),0)</f>
        <v>4.08760554789053E-003i</v>
      </c>
      <c r="Y155" s="9" t="str">
        <f>IF($B$7&gt;4,COMPLEX($E155,0),1)</f>
        <v>-3.14107590781283E-002</v>
      </c>
      <c r="Z155" s="9" t="str">
        <f>IF($B$7&gt;5,COMPLEX($E155,0),1)</f>
        <v>-3.14107590781283E-002</v>
      </c>
      <c r="AA155" s="9" t="str">
        <f>IF($B$7&gt;5,COMPLEX(0,$D155*$B$21),0)</f>
        <v>292.257491196953i</v>
      </c>
      <c r="AB155" s="9" t="str">
        <f>IF($B$7&gt;5,COMPLEX(0,$D155/$B$21),0)</f>
        <v>3.41826435354192E-003i</v>
      </c>
      <c r="AC155" s="9" t="str">
        <f>IF($B$7&gt;5,COMPLEX($E155,0),1)</f>
        <v>-3.14107590781283E-002</v>
      </c>
      <c r="AD155" s="9" t="str">
        <f>IF($B$7&gt;6,COMPLEX($E155,0),1)</f>
        <v>-3.14107590781283E-002</v>
      </c>
      <c r="AE155" s="9" t="str">
        <f>IF($B$7&gt;6,COMPLEX(0,$D155*$B$22),0)</f>
        <v>349.485358319751i</v>
      </c>
      <c r="AF155" s="9" t="str">
        <f>IF($B$7&gt;6,COMPLEX(0,$D155/$B$22),0)</f>
        <v>2.85852708971034E-003i</v>
      </c>
      <c r="AG155" s="9" t="str">
        <f>IF($B$7&gt;6,COMPLEX($E155,0),1)</f>
        <v>-3.14107590781283E-002</v>
      </c>
      <c r="AH155" s="9" t="str">
        <f>IF($B$7&gt;7,COMPLEX($E155,0),1)</f>
        <v>-3.14107590781283E-002</v>
      </c>
      <c r="AI155" s="9" t="str">
        <f>IF($B$7&gt;7,COMPLEX(0,$D155*$B$23),0)</f>
        <v>417.919195773752i</v>
      </c>
      <c r="AJ155" s="9" t="str">
        <f>IF($B$7&gt;7,COMPLEX(0,$D155/$B$23),0)</f>
        <v>2.39044622576985E-003i</v>
      </c>
      <c r="AK155" s="9" t="str">
        <f>IF($B$7&gt;7,COMPLEX($E155,0),1)</f>
        <v>-3.14107590781283E-002</v>
      </c>
      <c r="AL155" s="4" t="str">
        <f>IMSUM(IMPRODUCT(F155,J155),IMPRODUCT(G155,L155))</f>
        <v>-0.834439319971406</v>
      </c>
      <c r="AM155" s="5" t="str">
        <f>IMSUM(IMPRODUCT(F155,K155),IMPRODUCT(G155,M155))</f>
        <v>-8.24371181100362i</v>
      </c>
      <c r="AN155" s="5" t="str">
        <f>IMSUM(IMPRODUCT(H155,J155),IMPRODUCT(I155,L155))</f>
        <v>-4.8209519128179E-004i</v>
      </c>
      <c r="AO155" s="5" t="str">
        <f>IMSUM(IMPRODUCT(H155,K155),IMPRODUCT(I155,M155))</f>
        <v>-1.19364670664337</v>
      </c>
      <c r="AP155" s="4" t="str">
        <f>IMSUM(IMPRODUCT(AL155,N155),IMPRODUCT(AM155,P155))</f>
        <v>7.43961030856312E-002</v>
      </c>
      <c r="AQ155" s="5" t="str">
        <f>IMSUM(IMPRODUCT(AL155,O155),IMPRODUCT(AM155,Q155))</f>
        <v>-142.357767886996i</v>
      </c>
      <c r="AR155" s="5" t="str">
        <f>IMSUM(IMPRODUCT(AN155,N155),IMPRODUCT(AO155,P155))</f>
        <v>-6.96190086127585E-003i</v>
      </c>
      <c r="AS155" s="5" t="str">
        <f>IMSUM(IMPRODUCT(AN155,O155),IMPRODUCT(AO155,Q155))</f>
        <v>0.119889789495402</v>
      </c>
      <c r="AT155" s="4" t="str">
        <f>IMSUM(IMPRODUCT(AP155,R155),IMPRODUCT(AQ155,T155))</f>
        <v>0.693509720275728</v>
      </c>
      <c r="AU155" s="5" t="str">
        <f>IMSUM(IMPRODUCT(AP155,S155),IMPRODUCT(AQ155,U155))</f>
        <v>19.6766617357116i</v>
      </c>
      <c r="AV155" s="5" t="str">
        <f>IMSUM(IMPRODUCT(AR155,R155),IMPRODUCT(AS155,T155))</f>
        <v>8.04701388307345E-004i</v>
      </c>
      <c r="AW155" s="5" t="str">
        <f>IMSUM(IMPRODUCT(AR155,S155),IMPRODUCT(AS155,U155))</f>
        <v>1.41910939992698</v>
      </c>
      <c r="AX155" s="4" t="str">
        <f>IMSUM(IMPRODUCT(AT155,V155),IMPRODUCT(AU155,X155))</f>
        <v>-0.102214098416781</v>
      </c>
      <c r="AY155" s="5" t="str">
        <f>IMSUM(IMPRODUCT(AT155,W155),IMPRODUCT(AU155,Y155))</f>
        <v>168.876152497691i</v>
      </c>
      <c r="AZ155" s="5" t="str">
        <f>IMSUM(IMPRODUCT(AV155,V155),IMPRODUCT(AW155,X155))</f>
        <v>5.77548317476716E-003i</v>
      </c>
      <c r="BA155" s="5" t="str">
        <f>IMSUM(IMPRODUCT(AV155,W155),IMPRODUCT(AW155,Y155))</f>
        <v>-0.241244828376025</v>
      </c>
      <c r="BB155" s="4" t="str">
        <f>IMSUM(IMPRODUCT(AX155,Z155),IMPRODUCT(AY155,AB155))</f>
        <v>-0.574052709826408</v>
      </c>
      <c r="BC155" s="5" t="str">
        <f>IMSUM(IMPRODUCT(AX155,AA155),IMPRODUCT(AY155,AC155))</f>
        <v>-35.1773641083931i</v>
      </c>
      <c r="BD155" s="5" t="str">
        <f>IMSUM(IMPRODUCT(AZ155,Z155),IMPRODUCT(BA155,AB155))</f>
        <v>-1.0060509078765E-003i</v>
      </c>
      <c r="BE155" s="5" t="str">
        <f>IMSUM(IMPRODUCT(AZ155,AA155),IMPRODUCT(BA155,AC155))</f>
        <v>-1.6803505399247</v>
      </c>
      <c r="BF155" s="4" t="str">
        <f>IMSUM(IMPRODUCT(BB155,AD155),IMPRODUCT(BC155,AF155))</f>
        <v>0.11858687961495</v>
      </c>
      <c r="BG155" s="5" t="str">
        <f>IMSUM(IMPRODUCT(BB155,AE155),IMPRODUCT(BC155,AG155))</f>
        <v>-199.518069279094i</v>
      </c>
      <c r="BH155" s="5" t="str">
        <f>IMSUM(IMPRODUCT(BD155,AD155),IMPRODUCT(BE155,AF155))</f>
        <v>-4.77172671589651E-003i</v>
      </c>
      <c r="BI155" s="5" t="str">
        <f>IMSUM(IMPRODUCT(BD155,AE155),IMPRODUCT(BE155,AG155))</f>
        <v>0.404381148003507</v>
      </c>
      <c r="BJ155" s="4" t="str">
        <f>IMSUM(IMPRODUCT(BF155,AH155),IMPRODUCT(BG155,AJ155))</f>
        <v>0.473212311775686</v>
      </c>
      <c r="BK155" s="5" t="str">
        <f>IMSUM(IMPRODUCT(BF155,AI155),IMPRODUCT(BG155,AK155))</f>
        <v>55.8267473638575i</v>
      </c>
      <c r="BL155" s="5" t="str">
        <f>IMSUM(IMPRODUCT(BH155,AH155),IMPRODUCT(BI155,AJ155))</f>
        <v>1.11653494727716E-003i</v>
      </c>
      <c r="BM155" s="5" t="str">
        <f>IMSUM(IMPRODUCT(BH155,AI155),IMPRODUCT(BI155,AK155))</f>
        <v>1.98149427274392</v>
      </c>
      <c r="BN155" s="4">
        <f t="shared" si="4"/>
        <v>500</v>
      </c>
      <c r="BO155" s="4">
        <v>1</v>
      </c>
      <c r="BP155" s="4" t="str">
        <f>IMSUM(IMPRODUCT($BJ155,$BN155),IMPRODUCT($BK155,$BO155))</f>
        <v>236.606155887843+55.8267473638575i</v>
      </c>
      <c r="BQ155" s="4" t="str">
        <f>IMSUM(IMPRODUCT($BL155,$BN155),IMPRODUCT($BM155,$BO155))</f>
        <v>1.98149427274392+0.55826747363858i</v>
      </c>
      <c r="BR155" s="4" t="str">
        <f>IMDIV($BP155,$BQ155)</f>
        <v>117.980676946651-5.06588751297183i</v>
      </c>
      <c r="BS155" s="4" t="str">
        <f>IMDIV(IMSUB($BQ$100,$BR155),IMSUM($BQ$100,$BR155))</f>
        <v>-8.29827630447581E-002+2.13115503398883E-002i</v>
      </c>
      <c r="BT155" s="4">
        <f>IMABS($BS155)</f>
        <v>0.08567567414635302</v>
      </c>
      <c r="BU155" s="4">
        <f t="shared" si="5"/>
        <v>1.187407622708415</v>
      </c>
      <c r="BV155" s="4">
        <f t="shared" si="6"/>
        <v>-0.0319961849968891</v>
      </c>
    </row>
    <row r="156" spans="1:74" ht="12.75">
      <c r="A156" s="5">
        <v>53</v>
      </c>
      <c r="B156" s="5">
        <f t="shared" si="1"/>
        <v>10.4</v>
      </c>
      <c r="C156" s="4">
        <f t="shared" si="7"/>
        <v>1.6336281798666925</v>
      </c>
      <c r="D156" s="4">
        <f t="shared" si="2"/>
        <v>0.9980267284282716</v>
      </c>
      <c r="E156" s="5">
        <f t="shared" si="3"/>
        <v>-0.0627905195293134</v>
      </c>
      <c r="F156" s="9" t="str">
        <f>IF($B$7&gt;0,COMPLEX($E156,0),1)</f>
        <v>-6.27905195293134E-002</v>
      </c>
      <c r="G156" s="9" t="str">
        <f>IF($B$7&gt;0,COMPLEX(0,$D156*$B$16),0)</f>
        <v>119.345351035806i</v>
      </c>
      <c r="H156" s="9" t="str">
        <f>IF($B$7&gt;0,COMPLEX(0,$D156/$B$16),0)</f>
        <v>8.34600880564171E-003i</v>
      </c>
      <c r="I156" s="9" t="str">
        <f>IF($B$7&gt;0,COMPLEX($E156,0),1)</f>
        <v>-6.27905195293134E-002</v>
      </c>
      <c r="J156" s="9" t="str">
        <f>IF($B$7&gt;1,COMPLEX($E156,0),1)</f>
        <v>-6.27905195293134E-002</v>
      </c>
      <c r="K156" s="9" t="str">
        <f>IF($B$7&gt;1,COMPLEX(0,$D156*$B$17),0)</f>
        <v>142.714743083992i</v>
      </c>
      <c r="L156" s="9" t="str">
        <f>IF($B$7&gt;1,COMPLEX(0,$D156/$B$17),0)</f>
        <v>6.97935846803877E-003i</v>
      </c>
      <c r="M156" s="9" t="str">
        <f>IF($B$7&gt;1,COMPLEX($E156,0),1)</f>
        <v>-6.27905195293134E-002</v>
      </c>
      <c r="N156" s="9" t="str">
        <f>IF($B$7&gt;2,COMPLEX($E156,0),1)</f>
        <v>-6.27905195293134E-002</v>
      </c>
      <c r="O156" s="9" t="str">
        <f>IF($B$7&gt;2,COMPLEX(0,$D156*$B$18),0)</f>
        <v>170.660169975278i</v>
      </c>
      <c r="P156" s="9" t="str">
        <f>IF($B$7&gt;2,COMPLEX(0,$D156/$B$18),0)</f>
        <v>5.83649571426964E-003i</v>
      </c>
      <c r="Q156" s="9" t="str">
        <f>IF($B$7&gt;2,COMPLEX($E156,0),1)</f>
        <v>-6.27905195293134E-002</v>
      </c>
      <c r="R156" s="9" t="str">
        <f>IF($B$7&gt;3,COMPLEX($E156,0),1)</f>
        <v>-6.27905195293134E-002</v>
      </c>
      <c r="S156" s="9" t="str">
        <f>IF($B$7&gt;3,COMPLEX(0,$D156*$B$19),0)</f>
        <v>204.077679618915i</v>
      </c>
      <c r="T156" s="9" t="str">
        <f>IF($B$7&gt;3,COMPLEX(0,$D156/$B$19),0)</f>
        <v>4.88077555819542E-003i</v>
      </c>
      <c r="U156" s="9" t="str">
        <f>IF($B$7&gt;3,COMPLEX($E156,0),1)</f>
        <v>-6.27905195293134E-002</v>
      </c>
      <c r="V156" s="9" t="str">
        <f>IF($B$7&gt;4,COMPLEX($E156,0),1)</f>
        <v>-6.27905195293134E-002</v>
      </c>
      <c r="W156" s="9" t="str">
        <f>IF($B$7&gt;4,COMPLEX(0,$D156*$B$20),0)</f>
        <v>244.038777909771i</v>
      </c>
      <c r="X156" s="9" t="str">
        <f>IF($B$7&gt;4,COMPLEX(0,$D156/$B$20),0)</f>
        <v>4.08155359237831E-003i</v>
      </c>
      <c r="Y156" s="9" t="str">
        <f>IF($B$7&gt;4,COMPLEX($E156,0),1)</f>
        <v>-6.27905195293134E-002</v>
      </c>
      <c r="Z156" s="9" t="str">
        <f>IF($B$7&gt;5,COMPLEX($E156,0),1)</f>
        <v>-6.27905195293134E-002</v>
      </c>
      <c r="AA156" s="9" t="str">
        <f>IF($B$7&gt;5,COMPLEX(0,$D156*$B$21),0)</f>
        <v>291.824785713482i</v>
      </c>
      <c r="AB156" s="9" t="str">
        <f>IF($B$7&gt;5,COMPLEX(0,$D156/$B$21),0)</f>
        <v>3.41320339950556E-003i</v>
      </c>
      <c r="AC156" s="9" t="str">
        <f>IF($B$7&gt;5,COMPLEX($E156,0),1)</f>
        <v>-6.27905195293134E-002</v>
      </c>
      <c r="AD156" s="9" t="str">
        <f>IF($B$7&gt;6,COMPLEX($E156,0),1)</f>
        <v>-6.27905195293134E-002</v>
      </c>
      <c r="AE156" s="9" t="str">
        <f>IF($B$7&gt;6,COMPLEX(0,$D156*$B$22),0)</f>
        <v>348.967923401939i</v>
      </c>
      <c r="AF156" s="9" t="str">
        <f>IF($B$7&gt;6,COMPLEX(0,$D156/$B$22),0)</f>
        <v>2.85429486167984E-003i</v>
      </c>
      <c r="AG156" s="9" t="str">
        <f>IF($B$7&gt;6,COMPLEX($E156,0),1)</f>
        <v>-6.27905195293134E-002</v>
      </c>
      <c r="AH156" s="9" t="str">
        <f>IF($B$7&gt;7,COMPLEX($E156,0),1)</f>
        <v>-6.27905195293134E-002</v>
      </c>
      <c r="AI156" s="9" t="str">
        <f>IF($B$7&gt;7,COMPLEX(0,$D156*$B$23),0)</f>
        <v>417.300440282085i</v>
      </c>
      <c r="AJ156" s="9" t="str">
        <f>IF($B$7&gt;7,COMPLEX(0,$D156/$B$23),0)</f>
        <v>2.38690702071612E-003i</v>
      </c>
      <c r="AK156" s="9" t="str">
        <f>IF($B$7&gt;7,COMPLEX($E156,0),1)</f>
        <v>-6.27905195293134E-002</v>
      </c>
      <c r="AL156" s="4" t="str">
        <f>IMSUM(IMPRODUCT(F156,J156),IMPRODUCT(G156,L156))</f>
        <v>-0.829011337030051</v>
      </c>
      <c r="AM156" s="5" t="str">
        <f>IMSUM(IMPRODUCT(F156,K156),IMPRODUCT(G156,M156))</f>
        <v>-16.4548894576829i</v>
      </c>
      <c r="AN156" s="5" t="str">
        <f>IMSUM(IMPRODUCT(H156,J156),IMPRODUCT(I156,L156))</f>
        <v>-9.62287773091934E-004i</v>
      </c>
      <c r="AO156" s="5" t="str">
        <f>IMSUM(IMPRODUCT(H156,K156),IMPRODUCT(I156,M156))</f>
        <v>-1.18715585313113</v>
      </c>
      <c r="AP156" s="4" t="str">
        <f>IMSUM(IMPRODUCT(AL156,N156),IMPRODUCT(AM156,P156))</f>
        <v>0.148092944346355</v>
      </c>
      <c r="AQ156" s="5" t="str">
        <f>IMSUM(IMPRODUCT(AL156,O156),IMPRODUCT(AM156,Q156))</f>
        <v>-140.446004631136i</v>
      </c>
      <c r="AR156" s="5" t="str">
        <f>IMSUM(IMPRODUCT(AN156,N156),IMPRODUCT(AO156,P156))</f>
        <v>-6.86840749976081E-003i</v>
      </c>
      <c r="AS156" s="5" t="str">
        <f>IMSUM(IMPRODUCT(AN156,O156),IMPRODUCT(AO156,Q156))</f>
        <v>0.23876632770137</v>
      </c>
      <c r="AT156" s="4" t="str">
        <f>IMSUM(IMPRODUCT(AP156,R156),IMPRODUCT(AQ156,T156))</f>
        <v>0.676186593735716</v>
      </c>
      <c r="AU156" s="5" t="str">
        <f>IMSUM(IMPRODUCT(AP156,S156),IMPRODUCT(AQ156,U156))</f>
        <v>39.0411420467426i</v>
      </c>
      <c r="AV156" s="5" t="str">
        <f>IMSUM(IMPRODUCT(AR156,R156),IMPRODUCT(AS156,T156))</f>
        <v>1.59663573161393E-003i</v>
      </c>
      <c r="AW156" s="5" t="str">
        <f>IMSUM(IMPRODUCT(AR156,S156),IMPRODUCT(AS156,U156))</f>
        <v>1.38669640346586</v>
      </c>
      <c r="AX156" s="4" t="str">
        <f>IMSUM(IMPRODUCT(AT156,V156),IMPRODUCT(AU156,X156))</f>
        <v>-0.201806621090856</v>
      </c>
      <c r="AY156" s="5" t="str">
        <f>IMSUM(IMPRODUCT(AT156,W156),IMPRODUCT(AU156,Y156))</f>
        <v>162.564336382102i</v>
      </c>
      <c r="AZ156" s="5" t="str">
        <f>IMSUM(IMPRODUCT(AV156,V156),IMPRODUCT(AW156,X156))</f>
        <v>5.55962210001706E-003i</v>
      </c>
      <c r="BA156" s="5" t="str">
        <f>IMSUM(IMPRODUCT(AV156,W156),IMPRODUCT(AW156,Y156))</f>
        <v>-0.476712420313189</v>
      </c>
      <c r="BB156" s="4" t="str">
        <f>IMSUM(IMPRODUCT(AX156,Z156),IMPRODUCT(AY156,AB156))</f>
        <v>-0.542193602995006</v>
      </c>
      <c r="BC156" s="5" t="str">
        <f>IMSUM(IMPRODUCT(AX156,AA156),IMPRODUCT(AY156,AC156))</f>
        <v>-69.0996730937711i</v>
      </c>
      <c r="BD156" s="5" t="str">
        <f>IMSUM(IMPRODUCT(AZ156,Z156),IMPRODUCT(BA156,AB156))</f>
        <v>-1.97620801364622E-003i</v>
      </c>
      <c r="BE156" s="5" t="str">
        <f>IMSUM(IMPRODUCT(AZ156,AA156),IMPRODUCT(BA156,AC156))</f>
        <v>-1.59250250744788</v>
      </c>
      <c r="BF156" s="4" t="str">
        <f>IMSUM(IMPRODUCT(BB156,AD156),IMPRODUCT(BC156,AF156))</f>
        <v>0.231275459872835</v>
      </c>
      <c r="BG156" s="5" t="str">
        <f>IMSUM(IMPRODUCT(BB156,AE156),IMPRODUCT(BC156,AG156))</f>
        <v>-184.869371346119i</v>
      </c>
      <c r="BH156" s="5" t="str">
        <f>IMSUM(IMPRODUCT(BD156,AD156),IMPRODUCT(BE156,AF156))</f>
        <v>-4.42138459634591E-003i</v>
      </c>
      <c r="BI156" s="5" t="str">
        <f>IMSUM(IMPRODUCT(BD156,AE156),IMPRODUCT(BE156,AG156))</f>
        <v>0.789627266526779</v>
      </c>
      <c r="BJ156" s="4" t="str">
        <f>IMSUM(IMPRODUCT(BF156,AH156),IMPRODUCT(BG156,AJ156))</f>
        <v>0.426744094101631</v>
      </c>
      <c r="BK156" s="5" t="str">
        <f>IMSUM(IMPRODUCT(BF156,AI156),IMPRODUCT(BG156,AK156))</f>
        <v>108.119395103256i</v>
      </c>
      <c r="BL156" s="5" t="str">
        <f>IMSUM(IMPRODUCT(BH156,AH156),IMPRODUCT(BI156,AJ156))</f>
        <v>2.16238790206511E-003i</v>
      </c>
      <c r="BM156" s="5" t="str">
        <f>IMSUM(IMPRODUCT(BH156,AI156),IMPRODUCT(BI156,AK156))</f>
        <v>1.79546463241185</v>
      </c>
      <c r="BN156" s="4">
        <f t="shared" si="4"/>
        <v>500</v>
      </c>
      <c r="BO156" s="4">
        <v>1</v>
      </c>
      <c r="BP156" s="4" t="str">
        <f>IMSUM(IMPRODUCT($BJ156,$BN156),IMPRODUCT($BK156,$BO156))</f>
        <v>213.372047050816+108.119395103256i</v>
      </c>
      <c r="BQ156" s="4" t="str">
        <f>IMSUM(IMPRODUCT($BL156,$BN156),IMPRODUCT($BM156,$BO156))</f>
        <v>1.79546463241185+1.08119395103256i</v>
      </c>
      <c r="BR156" s="4" t="str">
        <f>IMDIV($BP156,$BQ156)</f>
        <v>113.825893942596-8.32568496672209i</v>
      </c>
      <c r="BS156" s="4" t="str">
        <f>IMDIV(IMSUB($BQ$100,$BR156),IMSUM($BQ$100,$BR156))</f>
        <v>-6.60754820400926E-002+3.63639836872115E-002i</v>
      </c>
      <c r="BT156" s="4">
        <f>IMABS($BS156)</f>
        <v>0.07542087666179957</v>
      </c>
      <c r="BU156" s="4">
        <f t="shared" si="5"/>
        <v>1.1631463976592764</v>
      </c>
      <c r="BV156" s="4">
        <f t="shared" si="6"/>
        <v>-0.024774540129819764</v>
      </c>
    </row>
    <row r="157" spans="1:74" ht="12.75">
      <c r="A157" s="5">
        <v>54</v>
      </c>
      <c r="B157" s="5">
        <f t="shared" si="1"/>
        <v>10.600000000000001</v>
      </c>
      <c r="C157" s="4">
        <f t="shared" si="7"/>
        <v>1.6650441064025905</v>
      </c>
      <c r="D157" s="4">
        <f t="shared" si="2"/>
        <v>0.99556196460308</v>
      </c>
      <c r="E157" s="5">
        <f t="shared" si="3"/>
        <v>-0.09410831331851438</v>
      </c>
      <c r="F157" s="9" t="str">
        <f>IF($B$7&gt;0,COMPLEX($E157,0),1)</f>
        <v>-9.41083133185144E-002</v>
      </c>
      <c r="G157" s="9" t="str">
        <f>IF($B$7&gt;0,COMPLEX(0,$D157*$B$16),0)</f>
        <v>119.050611330387i</v>
      </c>
      <c r="H157" s="9" t="str">
        <f>IF($B$7&gt;0,COMPLEX(0,$D157/$B$16),0)</f>
        <v>8.32539719274305E-003i</v>
      </c>
      <c r="I157" s="9" t="str">
        <f>IF($B$7&gt;0,COMPLEX($E157,0),1)</f>
        <v>-9.41083133185144E-002</v>
      </c>
      <c r="J157" s="9" t="str">
        <f>IF($B$7&gt;1,COMPLEX($E157,0),1)</f>
        <v>-9.41083133185144E-002</v>
      </c>
      <c r="K157" s="9" t="str">
        <f>IF($B$7&gt;1,COMPLEX(0,$D157*$B$17),0)</f>
        <v>142.362289461203i</v>
      </c>
      <c r="L157" s="9" t="str">
        <f>IF($B$7&gt;1,COMPLEX(0,$D157/$B$17),0)</f>
        <v>6.96212198550272E-003i</v>
      </c>
      <c r="M157" s="9" t="str">
        <f>IF($B$7&gt;1,COMPLEX($E157,0),1)</f>
        <v>-9.41083133185144E-002</v>
      </c>
      <c r="N157" s="9" t="str">
        <f>IF($B$7&gt;2,COMPLEX($E157,0),1)</f>
        <v>-9.41083133185144E-002</v>
      </c>
      <c r="O157" s="9" t="str">
        <f>IF($B$7&gt;2,COMPLEX(0,$D157*$B$18),0)</f>
        <v>170.238701289746i</v>
      </c>
      <c r="P157" s="9" t="str">
        <f>IF($B$7&gt;2,COMPLEX(0,$D157/$B$18),0)</f>
        <v>5.82208168797891E-003i</v>
      </c>
      <c r="Q157" s="9" t="str">
        <f>IF($B$7&gt;2,COMPLEX($E157,0),1)</f>
        <v>-9.41083133185144E-002</v>
      </c>
      <c r="R157" s="9" t="str">
        <f>IF($B$7&gt;3,COMPLEX($E157,0),1)</f>
        <v>-9.41083133185144E-002</v>
      </c>
      <c r="S157" s="9" t="str">
        <f>IF($B$7&gt;3,COMPLEX(0,$D157*$B$19),0)</f>
        <v>203.573681812117i</v>
      </c>
      <c r="T157" s="9" t="str">
        <f>IF($B$7&gt;3,COMPLEX(0,$D157/$B$19),0)</f>
        <v>4.86872181384965E-003i</v>
      </c>
      <c r="U157" s="9" t="str">
        <f>IF($B$7&gt;3,COMPLEX($E157,0),1)</f>
        <v>-9.41083133185144E-002</v>
      </c>
      <c r="V157" s="9" t="str">
        <f>IF($B$7&gt;4,COMPLEX($E157,0),1)</f>
        <v>-9.41083133185144E-002</v>
      </c>
      <c r="W157" s="9" t="str">
        <f>IF($B$7&gt;4,COMPLEX(0,$D157*$B$20),0)</f>
        <v>243.436090692483i</v>
      </c>
      <c r="X157" s="9" t="str">
        <f>IF($B$7&gt;4,COMPLEX(0,$D157/$B$20),0)</f>
        <v>4.07147363624235E-003i</v>
      </c>
      <c r="Y157" s="9" t="str">
        <f>IF($B$7&gt;4,COMPLEX($E157,0),1)</f>
        <v>-9.41083133185144E-002</v>
      </c>
      <c r="Z157" s="9" t="str">
        <f>IF($B$7&gt;5,COMPLEX($E157,0),1)</f>
        <v>-9.41083133185144E-002</v>
      </c>
      <c r="AA157" s="9" t="str">
        <f>IF($B$7&gt;5,COMPLEX(0,$D157*$B$21),0)</f>
        <v>291.104084398945i</v>
      </c>
      <c r="AB157" s="9" t="str">
        <f>IF($B$7&gt;5,COMPLEX(0,$D157/$B$21),0)</f>
        <v>3.40477402579493E-003i</v>
      </c>
      <c r="AC157" s="9" t="str">
        <f>IF($B$7&gt;5,COMPLEX($E157,0),1)</f>
        <v>-9.41083133185144E-002</v>
      </c>
      <c r="AD157" s="9" t="str">
        <f>IF($B$7&gt;6,COMPLEX($E157,0),1)</f>
        <v>-9.41083133185144E-002</v>
      </c>
      <c r="AE157" s="9" t="str">
        <f>IF($B$7&gt;6,COMPLEX(0,$D157*$B$22),0)</f>
        <v>348.106099275136i</v>
      </c>
      <c r="AF157" s="9" t="str">
        <f>IF($B$7&gt;6,COMPLEX(0,$D157/$B$22),0)</f>
        <v>2.84724578922406E-003i</v>
      </c>
      <c r="AG157" s="9" t="str">
        <f>IF($B$7&gt;6,COMPLEX($E157,0),1)</f>
        <v>-9.41083133185144E-002</v>
      </c>
      <c r="AH157" s="9" t="str">
        <f>IF($B$7&gt;7,COMPLEX($E157,0),1)</f>
        <v>-9.41083133185144E-002</v>
      </c>
      <c r="AI157" s="9" t="str">
        <f>IF($B$7&gt;7,COMPLEX(0,$D157*$B$23),0)</f>
        <v>416.269859637152i</v>
      </c>
      <c r="AJ157" s="9" t="str">
        <f>IF($B$7&gt;7,COMPLEX(0,$D157/$B$23),0)</f>
        <v>2.38101222660773E-003i</v>
      </c>
      <c r="AK157" s="9" t="str">
        <f>IF($B$7&gt;7,COMPLEX($E157,0),1)</f>
        <v>-9.41083133185144E-002</v>
      </c>
      <c r="AL157" s="4" t="str">
        <f>IMSUM(IMPRODUCT(F157,J157),IMPRODUCT(G157,L157))</f>
        <v>-0.819988503895171</v>
      </c>
      <c r="AM157" s="5" t="str">
        <f>IMSUM(IMPRODUCT(F157,K157),IMPRODUCT(G157,M157))</f>
        <v>-24.6011271731966i</v>
      </c>
      <c r="AN157" s="5" t="str">
        <f>IMSUM(IMPRODUCT(H157,J157),IMPRODUCT(I157,L157))</f>
        <v>-1.43868264468915E-003i</v>
      </c>
      <c r="AO157" s="5" t="str">
        <f>IMSUM(IMPRODUCT(H157,K157),IMPRODUCT(I157,M157))</f>
        <v>-1.17636623039711</v>
      </c>
      <c r="AP157" s="4" t="str">
        <f>IMSUM(IMPRODUCT(AL157,N157),IMPRODUCT(AM157,P157))</f>
        <v>0.220397507060855</v>
      </c>
      <c r="AQ157" s="5" t="str">
        <f>IMSUM(IMPRODUCT(AL157,O157),IMPRODUCT(AM157,Q157))</f>
        <v>-137.278607391632i</v>
      </c>
      <c r="AR157" s="5" t="str">
        <f>IMSUM(IMPRODUCT(AN157,N157),IMPRODUCT(AO157,P157))</f>
        <v>-6.71350829125947E-003i</v>
      </c>
      <c r="AS157" s="5" t="str">
        <f>IMSUM(IMPRODUCT(AN157,O157),IMPRODUCT(AO157,Q157))</f>
        <v>0.355625306787509</v>
      </c>
      <c r="AT157" s="4" t="str">
        <f>IMSUM(IMPRODUCT(AP157,R157),IMPRODUCT(AQ157,T157))</f>
        <v>0.647630112733439</v>
      </c>
      <c r="AU157" s="5" t="str">
        <f>IMSUM(IMPRODUCT(AP157,S157),IMPRODUCT(AQ157,U157))</f>
        <v>57.7861901709313i</v>
      </c>
      <c r="AV157" s="5" t="str">
        <f>IMSUM(IMPRODUCT(AR157,R157),IMPRODUCT(AS157,T157))</f>
        <v>2.36323763045361E-003i</v>
      </c>
      <c r="AW157" s="5" t="str">
        <f>IMSUM(IMPRODUCT(AR157,S157),IMPRODUCT(AS157,U157))</f>
        <v>1.33322630293271</v>
      </c>
      <c r="AX157" s="4" t="str">
        <f>IMSUM(IMPRODUCT(AT157,V157),IMPRODUCT(AU157,X157))</f>
        <v>-0.296222327383457</v>
      </c>
      <c r="AY157" s="5" t="str">
        <f>IMSUM(IMPRODUCT(AT157,W157),IMPRODUCT(AU157,Y157))</f>
        <v>152.218381968471i</v>
      </c>
      <c r="AZ157" s="5" t="str">
        <f>IMSUM(IMPRODUCT(AV157,V157),IMPRODUCT(AW157,X157))</f>
        <v>5.20579543616256E-003i</v>
      </c>
      <c r="BA157" s="5" t="str">
        <f>IMSUM(IMPRODUCT(AV157,W157),IMPRODUCT(AW157,Y157))</f>
        <v>-0.70076500877587</v>
      </c>
      <c r="BB157" s="4" t="str">
        <f>IMSUM(IMPRODUCT(AX157,Z157),IMPRODUCT(AY157,AB157))</f>
        <v>-0.490392209577439</v>
      </c>
      <c r="BC157" s="5" t="str">
        <f>IMSUM(IMPRODUCT(AX157,AA157),IMPRODUCT(AY157,AC157))</f>
        <v>-100.556544574612i</v>
      </c>
      <c r="BD157" s="5" t="str">
        <f>IMSUM(IMPRODUCT(AZ157,Z157),IMPRODUCT(BA157,AB157))</f>
        <v>-2.87585512804452E-003i</v>
      </c>
      <c r="BE157" s="5" t="str">
        <f>IMSUM(IMPRODUCT(AZ157,AA157),IMPRODUCT(BA157,AC157))</f>
        <v>-1.44948050100378</v>
      </c>
      <c r="BF157" s="4" t="str">
        <f>IMSUM(IMPRODUCT(BB157,AD157),IMPRODUCT(BC157,AF157))</f>
        <v>0.332459181826858</v>
      </c>
      <c r="BG157" s="5" t="str">
        <f>IMSUM(IMPRODUCT(BB157,AE157),IMPRODUCT(BC157,AG157))</f>
        <v>-161.245312387862i</v>
      </c>
      <c r="BH157" s="5" t="str">
        <f>IMSUM(IMPRODUCT(BD157,AD157),IMPRODUCT(BE157,AF157))</f>
        <v>-3.85638537759672E-003i</v>
      </c>
      <c r="BI157" s="5" t="str">
        <f>IMSUM(IMPRODUCT(BD157,AE157),IMPRODUCT(BE157,AG157))</f>
        <v>1.13751087584151</v>
      </c>
      <c r="BJ157" s="4" t="str">
        <f>IMSUM(IMPRODUCT(BF157,AH157),IMPRODUCT(BG157,AJ157))</f>
        <v>0.352639887429703</v>
      </c>
      <c r="BK157" s="5" t="str">
        <f>IMSUM(IMPRODUCT(BF157,AI157),IMPRODUCT(BG157,AK157))</f>
        <v>153.567261333488i</v>
      </c>
      <c r="BL157" s="5" t="str">
        <f>IMSUM(IMPRODUCT(BH157,AH157),IMPRODUCT(BI157,AJ157))</f>
        <v>3.07134522666971E-003i</v>
      </c>
      <c r="BM157" s="5" t="str">
        <f>IMSUM(IMPRODUCT(BH157,AI157),IMPRODUCT(BI157,AK157))</f>
        <v>1.49824776993204</v>
      </c>
      <c r="BN157" s="4">
        <f t="shared" si="4"/>
        <v>500</v>
      </c>
      <c r="BO157" s="4">
        <v>1</v>
      </c>
      <c r="BP157" s="4" t="str">
        <f>IMSUM(IMPRODUCT($BJ157,$BN157),IMPRODUCT($BK157,$BO157))</f>
        <v>176.319943714851+153.567261333488i</v>
      </c>
      <c r="BQ157" s="4" t="str">
        <f>IMSUM(IMPRODUCT($BL157,$BN157),IMPRODUCT($BM157,$BO157))</f>
        <v>1.49824776993204+1.53567261333486i</v>
      </c>
      <c r="BR157" s="4" t="str">
        <f>IMDIV($BP157,$BQ157)</f>
        <v>108.623942532647-8.83936063990147i</v>
      </c>
      <c r="BS157" s="4" t="str">
        <f>IMDIV(IMSUB($BQ$100,$BR157),IMSUM($BQ$100,$BR157))</f>
        <v>-4.30551714229127E-002+4.05455881505924E-002i</v>
      </c>
      <c r="BT157" s="4">
        <f>IMABS($BS157)</f>
        <v>0.05914129272119319</v>
      </c>
      <c r="BU157" s="4">
        <f t="shared" si="5"/>
        <v>1.1257176922818608</v>
      </c>
      <c r="BV157" s="4">
        <f t="shared" si="6"/>
        <v>-0.015216913124139787</v>
      </c>
    </row>
    <row r="158" spans="1:74" ht="12.75">
      <c r="A158" s="5">
        <v>55</v>
      </c>
      <c r="B158" s="5">
        <f t="shared" si="1"/>
        <v>10.8</v>
      </c>
      <c r="C158" s="4">
        <f t="shared" si="7"/>
        <v>1.6964600329384885</v>
      </c>
      <c r="D158" s="4">
        <f t="shared" si="2"/>
        <v>0.9921147013144778</v>
      </c>
      <c r="E158" s="5">
        <f t="shared" si="3"/>
        <v>-0.12533323356430437</v>
      </c>
      <c r="F158" s="9" t="str">
        <f>IF($B$7&gt;0,COMPLEX($E158,0),1)</f>
        <v>-0.125333233564304</v>
      </c>
      <c r="G158" s="9" t="str">
        <f>IF($B$7&gt;0,COMPLEX(0,$D158*$B$16),0)</f>
        <v>118.638383044738i</v>
      </c>
      <c r="H158" s="9" t="str">
        <f>IF($B$7&gt;0,COMPLEX(0,$D158/$B$16),0)</f>
        <v>8.29656941795254E-003i</v>
      </c>
      <c r="I158" s="9" t="str">
        <f>IF($B$7&gt;0,COMPLEX($E158,0),1)</f>
        <v>-0.125333233564304</v>
      </c>
      <c r="J158" s="9" t="str">
        <f>IF($B$7&gt;1,COMPLEX($E158,0),1)</f>
        <v>-0.125333233564304</v>
      </c>
      <c r="K158" s="9" t="str">
        <f>IF($B$7&gt;1,COMPLEX(0,$D158*$B$17),0)</f>
        <v>141.869341446323i</v>
      </c>
      <c r="L158" s="9" t="str">
        <f>IF($B$7&gt;1,COMPLEX(0,$D158/$B$17),0)</f>
        <v>6.93801472911415E-003i</v>
      </c>
      <c r="M158" s="9" t="str">
        <f>IF($B$7&gt;1,COMPLEX($E158,0),1)</f>
        <v>-0.125333233564304</v>
      </c>
      <c r="N158" s="9" t="str">
        <f>IF($B$7&gt;2,COMPLEX($E158,0),1)</f>
        <v>-0.125333233564304</v>
      </c>
      <c r="O158" s="9" t="str">
        <f>IF($B$7&gt;2,COMPLEX(0,$D158*$B$18),0)</f>
        <v>169.649227559209i</v>
      </c>
      <c r="P158" s="9" t="str">
        <f>IF($B$7&gt;2,COMPLEX(0,$D158/$B$18),0)</f>
        <v>5.80192196997059E-003i</v>
      </c>
      <c r="Q158" s="9" t="str">
        <f>IF($B$7&gt;2,COMPLEX($E158,0),1)</f>
        <v>-0.125333233564304</v>
      </c>
      <c r="R158" s="9" t="str">
        <f>IF($B$7&gt;3,COMPLEX($E158,0),1)</f>
        <v>-0.125333233564304</v>
      </c>
      <c r="S158" s="9" t="str">
        <f>IF($B$7&gt;3,COMPLEX(0,$D158*$B$19),0)</f>
        <v>202.868781359119i</v>
      </c>
      <c r="T158" s="9" t="str">
        <f>IF($B$7&gt;3,COMPLEX(0,$D158/$B$19),0)</f>
        <v>4.85186322888152E-003i</v>
      </c>
      <c r="U158" s="9" t="str">
        <f>IF($B$7&gt;3,COMPLEX($E158,0),1)</f>
        <v>-0.125333233564304</v>
      </c>
      <c r="V158" s="9" t="str">
        <f>IF($B$7&gt;4,COMPLEX($E158,0),1)</f>
        <v>-0.125333233564304</v>
      </c>
      <c r="W158" s="9" t="str">
        <f>IF($B$7&gt;4,COMPLEX(0,$D158*$B$20),0)</f>
        <v>242.593161444076i</v>
      </c>
      <c r="X158" s="9" t="str">
        <f>IF($B$7&gt;4,COMPLEX(0,$D158/$B$20),0)</f>
        <v>4.05737562718238E-003i</v>
      </c>
      <c r="Y158" s="9" t="str">
        <f>IF($B$7&gt;4,COMPLEX($E158,0),1)</f>
        <v>-0.125333233564304</v>
      </c>
      <c r="Z158" s="9" t="str">
        <f>IF($B$7&gt;5,COMPLEX($E158,0),1)</f>
        <v>-0.125333233564304</v>
      </c>
      <c r="AA158" s="9" t="str">
        <f>IF($B$7&gt;5,COMPLEX(0,$D158*$B$21),0)</f>
        <v>290.096098498529i</v>
      </c>
      <c r="AB158" s="9" t="str">
        <f>IF($B$7&gt;5,COMPLEX(0,$D158/$B$21),0)</f>
        <v>3.39298455118419E-003i</v>
      </c>
      <c r="AC158" s="9" t="str">
        <f>IF($B$7&gt;5,COMPLEX($E158,0),1)</f>
        <v>-0.125333233564304</v>
      </c>
      <c r="AD158" s="9" t="str">
        <f>IF($B$7&gt;6,COMPLEX($E158,0),1)</f>
        <v>-0.125333233564304</v>
      </c>
      <c r="AE158" s="9" t="str">
        <f>IF($B$7&gt;6,COMPLEX(0,$D158*$B$22),0)</f>
        <v>346.900736455708i</v>
      </c>
      <c r="AF158" s="9" t="str">
        <f>IF($B$7&gt;6,COMPLEX(0,$D158/$B$22),0)</f>
        <v>2.83738682892647E-003i</v>
      </c>
      <c r="AG158" s="9" t="str">
        <f>IF($B$7&gt;6,COMPLEX($E158,0),1)</f>
        <v>-0.125333233564304</v>
      </c>
      <c r="AH158" s="9" t="str">
        <f>IF($B$7&gt;7,COMPLEX($E158,0),1)</f>
        <v>-0.125333233564304</v>
      </c>
      <c r="AI158" s="9" t="str">
        <f>IF($B$7&gt;7,COMPLEX(0,$D158*$B$23),0)</f>
        <v>414.828470897627i</v>
      </c>
      <c r="AJ158" s="9" t="str">
        <f>IF($B$7&gt;7,COMPLEX(0,$D158/$B$23),0)</f>
        <v>2.37276766089477E-003i</v>
      </c>
      <c r="AK158" s="9" t="str">
        <f>IF($B$7&gt;7,COMPLEX($E158,0),1)</f>
        <v>-0.125333233564304</v>
      </c>
      <c r="AL158" s="4" t="str">
        <f>IMSUM(IMPRODUCT(F158,J158),IMPRODUCT(G158,L158))</f>
        <v>-0.807406429566995</v>
      </c>
      <c r="AM158" s="5" t="str">
        <f>IMSUM(IMPRODUCT(F158,K158),IMPRODUCT(G158,M158))</f>
        <v>-32.6502754789435i</v>
      </c>
      <c r="AN158" s="5" t="str">
        <f>IMSUM(IMPRODUCT(H158,J158),IMPRODUCT(I158,L158))</f>
        <v>-1.90939969315936E-003i</v>
      </c>
      <c r="AO158" s="5" t="str">
        <f>IMSUM(IMPRODUCT(H158,K158),IMPRODUCT(I158,M158))</f>
        <v>-1.16132042015295</v>
      </c>
      <c r="AP158" s="4" t="str">
        <f>IMSUM(IMPRODUCT(AL158,N158),IMPRODUCT(AM158,P158))</f>
        <v>0.290629209245115</v>
      </c>
      <c r="AQ158" s="5" t="str">
        <f>IMSUM(IMPRODUCT(AL158,O158),IMPRODUCT(AM158,Q158))</f>
        <v>-132.883712499839i</v>
      </c>
      <c r="AR158" s="5" t="str">
        <f>IMSUM(IMPRODUCT(AN158,N158),IMPRODUCT(AO158,P158))</f>
        <v>-6.49857922215053E-003i</v>
      </c>
      <c r="AS158" s="5" t="str">
        <f>IMSUM(IMPRODUCT(AN158,O158),IMPRODUCT(AO158,Q158))</f>
        <v>0.469480226508301</v>
      </c>
      <c r="AT158" s="4" t="str">
        <f>IMSUM(IMPRODUCT(AP158,R158),IMPRODUCT(AQ158,T158))</f>
        <v>0.608308099832305</v>
      </c>
      <c r="AU158" s="5" t="str">
        <f>IMSUM(IMPRODUCT(AP158,S158),IMPRODUCT(AQ158,U158))</f>
        <v>75.614338882555i</v>
      </c>
      <c r="AV158" s="5" t="str">
        <f>IMSUM(IMPRODUCT(AR158,R158),IMPRODUCT(AS158,T158))</f>
        <v>3.09234179516852E-003i</v>
      </c>
      <c r="AW158" s="5" t="str">
        <f>IMSUM(IMPRODUCT(AR158,S158),IMPRODUCT(AS158,U158))</f>
        <v>1.25951737248058</v>
      </c>
      <c r="AX158" s="4" t="str">
        <f>IMSUM(IMPRODUCT(AT158,V158),IMPRODUCT(AU158,X158))</f>
        <v>-0.383036996802928</v>
      </c>
      <c r="AY158" s="5" t="str">
        <f>IMSUM(IMPRODUCT(AT158,W158),IMPRODUCT(AU158,Y158))</f>
        <v>138.094395474379i</v>
      </c>
      <c r="AZ158" s="5" t="str">
        <f>IMSUM(IMPRODUCT(AV158,V158),IMPRODUCT(AW158,X158))</f>
        <v>4.72276189264099E-003i</v>
      </c>
      <c r="BA158" s="5" t="str">
        <f>IMSUM(IMPRODUCT(AV158,W158),IMPRODUCT(AW158,Y158))</f>
        <v>-0.908040357378988</v>
      </c>
      <c r="BB158" s="4" t="str">
        <f>IMSUM(IMPRODUCT(AX158,Z158),IMPRODUCT(AY158,AB158))</f>
        <v>-0.420544885065617</v>
      </c>
      <c r="BC158" s="5" t="str">
        <f>IMSUM(IMPRODUCT(AX158,AA158),IMPRODUCT(AY158,AC158))</f>
        <v>-128.425355475035i</v>
      </c>
      <c r="BD158" s="5" t="str">
        <f>IMSUM(IMPRODUCT(AZ158,Z158),IMPRODUCT(BA158,AB158))</f>
        <v>-3.67288592379765E-003i</v>
      </c>
      <c r="BE158" s="5" t="str">
        <f>IMSUM(IMPRODUCT(AZ158,AA158),IMPRODUCT(BA158,AC158))</f>
        <v>-1.25624716499548</v>
      </c>
      <c r="BF158" s="4" t="str">
        <f>IMSUM(IMPRODUCT(BB158,AD158),IMPRODUCT(BC158,AF158))</f>
        <v>0.417100662429266</v>
      </c>
      <c r="BG158" s="5" t="str">
        <f>IMSUM(IMPRODUCT(BB158,AE158),IMPRODUCT(BC158,AG158))</f>
        <v>-129.791365268613i</v>
      </c>
      <c r="BH158" s="5" t="str">
        <f>IMSUM(IMPRODUCT(BD158,AD158),IMPRODUCT(BE158,AF158))</f>
        <v>-3.10412449049201E-003i</v>
      </c>
      <c r="BI158" s="5" t="str">
        <f>IMSUM(IMPRODUCT(BD158,AE158),IMPRODUCT(BE158,AG158))</f>
        <v>1.43157635122808</v>
      </c>
      <c r="BJ158" s="4" t="str">
        <f>IMSUM(IMPRODUCT(BF158,AH158),IMPRODUCT(BG158,AJ158))</f>
        <v>0.255688179428673</v>
      </c>
      <c r="BK158" s="5" t="str">
        <f>IMSUM(IMPRODUCT(BF158,AI158),IMPRODUCT(BG158,AK158))</f>
        <v>189.292401503761i</v>
      </c>
      <c r="BL158" s="5" t="str">
        <f>IMSUM(IMPRODUCT(BH158,AH158),IMPRODUCT(BI158,AJ158))</f>
        <v>3.78584803007523E-003i</v>
      </c>
      <c r="BM158" s="5" t="str">
        <f>IMSUM(IMPRODUCT(BH158,AI158),IMPRODUCT(BI158,AK158))</f>
        <v>1.10825512267308</v>
      </c>
      <c r="BN158" s="4">
        <f t="shared" si="4"/>
        <v>500</v>
      </c>
      <c r="BO158" s="4">
        <v>1</v>
      </c>
      <c r="BP158" s="4" t="str">
        <f>IMSUM(IMPRODUCT($BJ158,$BN158),IMPRODUCT($BK158,$BO158))</f>
        <v>127.844089714337+189.292401503761i</v>
      </c>
      <c r="BQ158" s="4" t="str">
        <f>IMSUM(IMPRODUCT($BL158,$BN158),IMPRODUCT($BM158,$BO158))</f>
        <v>1.10825512267308+1.89292401503762i</v>
      </c>
      <c r="BR158" s="4" t="str">
        <f>IMDIV($BP158,$BQ158)</f>
        <v>103.920056931817-6.69554307013246i</v>
      </c>
      <c r="BS158" s="4" t="str">
        <f>IMDIV(IMSUB($BQ$100,$BR158),IMSUM($BQ$100,$BR158))</f>
        <v>-2.02797172547366E-002+3.21682891251673E-002i</v>
      </c>
      <c r="BT158" s="4">
        <f>IMABS($BS158)</f>
        <v>0.038027171301221165</v>
      </c>
      <c r="BU158" s="4">
        <f t="shared" si="5"/>
        <v>1.0790608012341867</v>
      </c>
      <c r="BV158" s="4">
        <f t="shared" si="6"/>
        <v>-0.0062847289497181946</v>
      </c>
    </row>
    <row r="159" spans="1:74" ht="12.75">
      <c r="A159" s="5">
        <v>56</v>
      </c>
      <c r="B159" s="5">
        <f t="shared" si="1"/>
        <v>11</v>
      </c>
      <c r="C159" s="4">
        <f t="shared" si="7"/>
        <v>1.7278759594743864</v>
      </c>
      <c r="D159" s="4">
        <f t="shared" si="2"/>
        <v>0.9876883405951377</v>
      </c>
      <c r="E159" s="5">
        <f t="shared" si="3"/>
        <v>-0.15643446504023104</v>
      </c>
      <c r="F159" s="9" t="str">
        <f>IF($B$7&gt;0,COMPLEX($E159,0),1)</f>
        <v>-0.156434465040231</v>
      </c>
      <c r="G159" s="9" t="str">
        <f>IF($B$7&gt;0,COMPLEX(0,$D159*$B$16),0)</f>
        <v>118.109072998411i</v>
      </c>
      <c r="H159" s="9" t="str">
        <f>IF($B$7&gt;0,COMPLEX(0,$D159/$B$16),0)</f>
        <v>8.25955393080348E-003i</v>
      </c>
      <c r="I159" s="9" t="str">
        <f>IF($B$7&gt;0,COMPLEX($E159,0),1)</f>
        <v>-0.156434465040231</v>
      </c>
      <c r="J159" s="9" t="str">
        <f>IF($B$7&gt;1,COMPLEX($E159,0),1)</f>
        <v>-0.156434465040231</v>
      </c>
      <c r="K159" s="9" t="str">
        <f>IF($B$7&gt;1,COMPLEX(0,$D159*$B$17),0)</f>
        <v>141.236385519529i</v>
      </c>
      <c r="L159" s="9" t="str">
        <f>IF($B$7&gt;1,COMPLEX(0,$D159/$B$17),0)</f>
        <v>6.90706048982461E-003i</v>
      </c>
      <c r="M159" s="9" t="str">
        <f>IF($B$7&gt;1,COMPLEX($E159,0),1)</f>
        <v>-0.156434465040231</v>
      </c>
      <c r="N159" s="9" t="str">
        <f>IF($B$7&gt;2,COMPLEX($E159,0),1)</f>
        <v>-0.156434465040231</v>
      </c>
      <c r="O159" s="9" t="str">
        <f>IF($B$7&gt;2,COMPLEX(0,$D159*$B$18),0)</f>
        <v>168.892330523071i</v>
      </c>
      <c r="P159" s="9" t="str">
        <f>IF($B$7&gt;2,COMPLEX(0,$D159/$B$18),0)</f>
        <v>5.77603645545243E-003i</v>
      </c>
      <c r="Q159" s="9" t="str">
        <f>IF($B$7&gt;2,COMPLEX($E159,0),1)</f>
        <v>-0.156434465040231</v>
      </c>
      <c r="R159" s="9" t="str">
        <f>IF($B$7&gt;3,COMPLEX($E159,0),1)</f>
        <v>-0.156434465040231</v>
      </c>
      <c r="S159" s="9" t="str">
        <f>IF($B$7&gt;3,COMPLEX(0,$D159*$B$19),0)</f>
        <v>201.963673911564i</v>
      </c>
      <c r="T159" s="9" t="str">
        <f>IF($B$7&gt;3,COMPLEX(0,$D159/$B$19),0)</f>
        <v>4.83021644067903E-003i</v>
      </c>
      <c r="U159" s="9" t="str">
        <f>IF($B$7&gt;3,COMPLEX($E159,0),1)</f>
        <v>-0.156434465040231</v>
      </c>
      <c r="V159" s="9" t="str">
        <f>IF($B$7&gt;4,COMPLEX($E159,0),1)</f>
        <v>-0.156434465040231</v>
      </c>
      <c r="W159" s="9" t="str">
        <f>IF($B$7&gt;4,COMPLEX(0,$D159*$B$20),0)</f>
        <v>241.510822033952i</v>
      </c>
      <c r="X159" s="9" t="str">
        <f>IF($B$7&gt;4,COMPLEX(0,$D159/$B$20),0)</f>
        <v>4.03927347823128E-003i</v>
      </c>
      <c r="Y159" s="9" t="str">
        <f>IF($B$7&gt;4,COMPLEX($E159,0),1)</f>
        <v>-0.156434465040231</v>
      </c>
      <c r="Z159" s="9" t="str">
        <f>IF($B$7&gt;5,COMPLEX($E159,0),1)</f>
        <v>-0.156434465040231</v>
      </c>
      <c r="AA159" s="9" t="str">
        <f>IF($B$7&gt;5,COMPLEX(0,$D159*$B$21),0)</f>
        <v>288.801822772621i</v>
      </c>
      <c r="AB159" s="9" t="str">
        <f>IF($B$7&gt;5,COMPLEX(0,$D159/$B$21),0)</f>
        <v>3.37784661046141E-003i</v>
      </c>
      <c r="AC159" s="9" t="str">
        <f>IF($B$7&gt;5,COMPLEX($E159,0),1)</f>
        <v>-0.156434465040231</v>
      </c>
      <c r="AD159" s="9" t="str">
        <f>IF($B$7&gt;6,COMPLEX($E159,0),1)</f>
        <v>-0.156434465040231</v>
      </c>
      <c r="AE159" s="9" t="str">
        <f>IF($B$7&gt;6,COMPLEX(0,$D159*$B$22),0)</f>
        <v>345.353024491231i</v>
      </c>
      <c r="AF159" s="9" t="str">
        <f>IF($B$7&gt;6,COMPLEX(0,$D159/$B$22),0)</f>
        <v>2.82472771039058E-003i</v>
      </c>
      <c r="AG159" s="9" t="str">
        <f>IF($B$7&gt;6,COMPLEX($E159,0),1)</f>
        <v>-0.156434465040231</v>
      </c>
      <c r="AH159" s="9" t="str">
        <f>IF($B$7&gt;7,COMPLEX($E159,0),1)</f>
        <v>-0.156434465040231</v>
      </c>
      <c r="AI159" s="9" t="str">
        <f>IF($B$7&gt;7,COMPLEX(0,$D159*$B$23),0)</f>
        <v>412.977696540174i</v>
      </c>
      <c r="AJ159" s="9" t="str">
        <f>IF($B$7&gt;7,COMPLEX(0,$D159/$B$23),0)</f>
        <v>2.36218145996821E-003i</v>
      </c>
      <c r="AK159" s="9" t="str">
        <f>IF($B$7&gt;7,COMPLEX($E159,0),1)</f>
        <v>-0.156434465040231</v>
      </c>
      <c r="AL159" s="4" t="str">
        <f>IMSUM(IMPRODUCT(F159,J159),IMPRODUCT(G159,L159))</f>
        <v>-0.791314769744712</v>
      </c>
      <c r="AM159" s="5" t="str">
        <f>IMSUM(IMPRODUCT(F159,K159),IMPRODUCT(G159,M159))</f>
        <v>-40.5705680638673i</v>
      </c>
      <c r="AN159" s="5" t="str">
        <f>IMSUM(IMPRODUCT(H159,J159),IMPRODUCT(I159,L159))</f>
        <v>-2.37258121336241E-003i</v>
      </c>
      <c r="AO159" s="5" t="str">
        <f>IMSUM(IMPRODUCT(H159,K159),IMPRODUCT(I159,M159))</f>
        <v>-1.14207780133788</v>
      </c>
      <c r="AP159" s="4" t="str">
        <f>IMSUM(IMPRODUCT(AL159,N159),IMPRODUCT(AM159,P159))</f>
        <v>0.35812598283876</v>
      </c>
      <c r="AQ159" s="5" t="str">
        <f>IMSUM(IMPRODUCT(AL159,O159),IMPRODUCT(AM159,Q159))</f>
        <v>-127.300360528063i</v>
      </c>
      <c r="AR159" s="5" t="str">
        <f>IMSUM(IMPRODUCT(AN159,N159),IMPRODUCT(AO159,P159))</f>
        <v>-6.2255295426137E-003i</v>
      </c>
      <c r="AS159" s="5" t="str">
        <f>IMSUM(IMPRODUCT(AN159,O159),IMPRODUCT(AO159,Q159))</f>
        <v>0.579371100366647</v>
      </c>
      <c r="AT159" s="4" t="str">
        <f>IMSUM(IMPRODUCT(AP159,R159),IMPRODUCT(AQ159,T159))</f>
        <v>0.55886504778463</v>
      </c>
      <c r="AU159" s="5" t="str">
        <f>IMSUM(IMPRODUCT(AP159,S159),IMPRODUCT(AQ159,U159))</f>
        <v>92.2426030159418i</v>
      </c>
      <c r="AV159" s="5" t="str">
        <f>IMSUM(IMPRODUCT(AR159,R159),IMPRODUCT(AS159,T159))</f>
        <v>3.77237519783621E-003i</v>
      </c>
      <c r="AW159" s="5" t="str">
        <f>IMSUM(IMPRODUCT(AR159,S159),IMPRODUCT(AS159,U159))</f>
        <v>1.16669721032561</v>
      </c>
      <c r="AX159" s="4" t="str">
        <f>IMSUM(IMPRODUCT(AT159,V159),IMPRODUCT(AU159,X159))</f>
        <v>-0.460018854705182</v>
      </c>
      <c r="AY159" s="5" t="str">
        <f>IMSUM(IMPRODUCT(AT159,W159),IMPRODUCT(AU159,Y159))</f>
        <v>120.542034839793i</v>
      </c>
      <c r="AZ159" s="5" t="str">
        <f>IMSUM(IMPRODUCT(AV159,V159),IMPRODUCT(AW159,X159))</f>
        <v>4.12247960279012E-003i</v>
      </c>
      <c r="BA159" s="5" t="str">
        <f>IMSUM(IMPRODUCT(AV159,W159),IMPRODUCT(AW159,Y159))</f>
        <v>-1.09358108901113</v>
      </c>
      <c r="BB159" s="4" t="str">
        <f>IMSUM(IMPRODUCT(AX159,Z159),IMPRODUCT(AY159,AB159))</f>
        <v>-0.335209700357491</v>
      </c>
      <c r="BC159" s="5" t="str">
        <f>IMSUM(IMPRODUCT(AX159,AA159),IMPRODUCT(AY159,AC159))</f>
        <v>-151.711212483654i</v>
      </c>
      <c r="BD159" s="5" t="str">
        <f>IMSUM(IMPRODUCT(AZ159,Z159),IMPRODUCT(BA159,AB159))</f>
        <v>-4.33884706608268E-003i</v>
      </c>
      <c r="BE159" s="5" t="str">
        <f>IMSUM(IMPRODUCT(AZ159,AA159),IMPRODUCT(BA159,AC159))</f>
        <v>-1.01950585099117</v>
      </c>
      <c r="BF159" s="4" t="str">
        <f>IMSUM(IMPRODUCT(BB159,AD159),IMPRODUCT(BC159,AF159))</f>
        <v>0.480981216031251</v>
      </c>
      <c r="BG159" s="5" t="str">
        <f>IMSUM(IMPRODUCT(BB159,AE159),IMPRODUCT(BC159,AG159))</f>
        <v>-92.0328214917738i</v>
      </c>
      <c r="BH159" s="5" t="str">
        <f>IMSUM(IMPRODUCT(BD159,AD159),IMPRODUCT(BE159,AF159))</f>
        <v>-2.20108120852607E-003i</v>
      </c>
      <c r="BI159" s="5" t="str">
        <f>IMSUM(IMPRODUCT(BD159,AE159),IMPRODUCT(BE159,AG159))</f>
        <v>1.65791980948175</v>
      </c>
      <c r="BJ159" s="4" t="str">
        <f>IMSUM(IMPRODUCT(BF159,AH159),IMPRODUCT(BG159,AJ159))</f>
        <v>0.142156185412184</v>
      </c>
      <c r="BK159" s="5" t="str">
        <f>IMSUM(IMPRODUCT(BF159,AI159),IMPRODUCT(BG159,AK159))</f>
        <v>213.031619871887i</v>
      </c>
      <c r="BL159" s="5" t="str">
        <f>IMSUM(IMPRODUCT(BH159,AH159),IMPRODUCT(BI159,AJ159))</f>
        <v>4.2606323974377E-003i</v>
      </c>
      <c r="BM159" s="5" t="str">
        <f>IMSUM(IMPRODUCT(BH159,AI159),IMPRODUCT(BI159,AK159))</f>
        <v>0.64964164891908</v>
      </c>
      <c r="BN159" s="4">
        <f t="shared" si="4"/>
        <v>500</v>
      </c>
      <c r="BO159" s="4">
        <v>1</v>
      </c>
      <c r="BP159" s="4" t="str">
        <f>IMSUM(IMPRODUCT($BJ159,$BN159),IMPRODUCT($BK159,$BO159))</f>
        <v>71.078092706092+213.031619871887i</v>
      </c>
      <c r="BQ159" s="4" t="str">
        <f>IMSUM(IMPRODUCT($BL159,$BN159),IMPRODUCT($BM159,$BO159))</f>
        <v>0.64964164891908+2.13031619871885i</v>
      </c>
      <c r="BR159" s="4" t="str">
        <f>IMDIV($BP159,$BQ159)</f>
        <v>100.800733233355-2.62577835134856i</v>
      </c>
      <c r="BS159" s="4" t="str">
        <f>IMDIV(IMSUB($BQ$100,$BR159),IMSUM($BQ$100,$BR159))</f>
        <v>-4.15798558330817E-003+1.30221656102217E-002i</v>
      </c>
      <c r="BT159" s="4">
        <f>IMABS($BS159)</f>
        <v>0.013669880807492043</v>
      </c>
      <c r="BU159" s="4">
        <f t="shared" si="5"/>
        <v>1.0277186725650909</v>
      </c>
      <c r="BV159" s="4">
        <f t="shared" si="6"/>
        <v>-0.0008116230032883993</v>
      </c>
    </row>
    <row r="160" spans="1:74" ht="12.75">
      <c r="A160" s="5">
        <v>57</v>
      </c>
      <c r="B160" s="5">
        <f t="shared" si="1"/>
        <v>11.200000000000001</v>
      </c>
      <c r="C160" s="4">
        <f t="shared" si="7"/>
        <v>1.7592918860102844</v>
      </c>
      <c r="D160" s="4">
        <f t="shared" si="2"/>
        <v>0.9822872507286886</v>
      </c>
      <c r="E160" s="5">
        <f t="shared" si="3"/>
        <v>-0.18738131458572482</v>
      </c>
      <c r="F160" s="9" t="str">
        <f>IF($B$7&gt;0,COMPLEX($E160,0),1)</f>
        <v>-0.187381314585725</v>
      </c>
      <c r="G160" s="9" t="str">
        <f>IF($B$7&gt;0,COMPLEX(0,$D160*$B$16),0)</f>
        <v>117.463203556515i</v>
      </c>
      <c r="H160" s="9" t="str">
        <f>IF($B$7&gt;0,COMPLEX(0,$D160/$B$16),0)</f>
        <v>8.21438726111274E-003i</v>
      </c>
      <c r="I160" s="9" t="str">
        <f>IF($B$7&gt;0,COMPLEX($E160,0),1)</f>
        <v>-0.187381314585725</v>
      </c>
      <c r="J160" s="9" t="str">
        <f>IF($B$7&gt;1,COMPLEX($E160,0),1)</f>
        <v>-0.187381314585725</v>
      </c>
      <c r="K160" s="9" t="str">
        <f>IF($B$7&gt;1,COMPLEX(0,$D160*$B$17),0)</f>
        <v>140.464046331903i</v>
      </c>
      <c r="L160" s="9" t="str">
        <f>IF($B$7&gt;1,COMPLEX(0,$D160/$B$17),0)</f>
        <v>6.86928981573114E-003i</v>
      </c>
      <c r="M160" s="9" t="str">
        <f>IF($B$7&gt;1,COMPLEX($E160,0),1)</f>
        <v>-0.187381314585725</v>
      </c>
      <c r="N160" s="9" t="str">
        <f>IF($B$7&gt;2,COMPLEX($E160,0),1)</f>
        <v>-0.187381314585725</v>
      </c>
      <c r="O160" s="9" t="str">
        <f>IF($B$7&gt;2,COMPLEX(0,$D160*$B$18),0)</f>
        <v>167.968757147324i</v>
      </c>
      <c r="P160" s="9" t="str">
        <f>IF($B$7&gt;2,COMPLEX(0,$D160/$B$18),0)</f>
        <v>5.74445069030207E-003i</v>
      </c>
      <c r="Q160" s="9" t="str">
        <f>IF($B$7&gt;2,COMPLEX($E160,0),1)</f>
        <v>-0.187381314585725</v>
      </c>
      <c r="R160" s="9" t="str">
        <f>IF($B$7&gt;3,COMPLEX($E160,0),1)</f>
        <v>-0.187381314585725</v>
      </c>
      <c r="S160" s="9" t="str">
        <f>IF($B$7&gt;3,COMPLEX(0,$D160*$B$19),0)</f>
        <v>200.859252701229i</v>
      </c>
      <c r="T160" s="9" t="str">
        <f>IF($B$7&gt;3,COMPLEX(0,$D160/$B$19),0)</f>
        <v>4.80380281200869E-003i</v>
      </c>
      <c r="U160" s="9" t="str">
        <f>IF($B$7&gt;3,COMPLEX($E160,0),1)</f>
        <v>-0.187381314585725</v>
      </c>
      <c r="V160" s="9" t="str">
        <f>IF($B$7&gt;4,COMPLEX($E160,0),1)</f>
        <v>-0.187381314585725</v>
      </c>
      <c r="W160" s="9" t="str">
        <f>IF($B$7&gt;4,COMPLEX(0,$D160*$B$20),0)</f>
        <v>240.190140600435i</v>
      </c>
      <c r="X160" s="9" t="str">
        <f>IF($B$7&gt;4,COMPLEX(0,$D160/$B$20),0)</f>
        <v>4.01718505402457E-003i</v>
      </c>
      <c r="Y160" s="9" t="str">
        <f>IF($B$7&gt;4,COMPLEX($E160,0),1)</f>
        <v>-0.187381314585725</v>
      </c>
      <c r="Z160" s="9" t="str">
        <f>IF($B$7&gt;5,COMPLEX($E160,0),1)</f>
        <v>-0.187381314585725</v>
      </c>
      <c r="AA160" s="9" t="str">
        <f>IF($B$7&gt;5,COMPLEX(0,$D160*$B$21),0)</f>
        <v>287.222534515103i</v>
      </c>
      <c r="AB160" s="9" t="str">
        <f>IF($B$7&gt;5,COMPLEX(0,$D160/$B$21),0)</f>
        <v>3.35937514294648E-003i</v>
      </c>
      <c r="AC160" s="9" t="str">
        <f>IF($B$7&gt;5,COMPLEX($E160,0),1)</f>
        <v>-0.187381314585725</v>
      </c>
      <c r="AD160" s="9" t="str">
        <f>IF($B$7&gt;6,COMPLEX($E160,0),1)</f>
        <v>-0.187381314585725</v>
      </c>
      <c r="AE160" s="9" t="str">
        <f>IF($B$7&gt;6,COMPLEX(0,$D160*$B$22),0)</f>
        <v>343.464490786557i</v>
      </c>
      <c r="AF160" s="9" t="str">
        <f>IF($B$7&gt;6,COMPLEX(0,$D160/$B$22),0)</f>
        <v>2.80928092663805E-003i</v>
      </c>
      <c r="AG160" s="9" t="str">
        <f>IF($B$7&gt;6,COMPLEX($E160,0),1)</f>
        <v>-0.187381314585725</v>
      </c>
      <c r="AH160" s="9" t="str">
        <f>IF($B$7&gt;7,COMPLEX($E160,0),1)</f>
        <v>-0.187381314585725</v>
      </c>
      <c r="AI160" s="9" t="str">
        <f>IF($B$7&gt;7,COMPLEX(0,$D160*$B$23),0)</f>
        <v>410.719363055637i</v>
      </c>
      <c r="AJ160" s="9" t="str">
        <f>IF($B$7&gt;7,COMPLEX(0,$D160/$B$23),0)</f>
        <v>2.34926407113029E-003i</v>
      </c>
      <c r="AK160" s="9" t="str">
        <f>IF($B$7&gt;7,COMPLEX($E160,0),1)</f>
        <v>-0.187381314585725</v>
      </c>
      <c r="AL160" s="4" t="str">
        <f>IMSUM(IMPRODUCT(F160,J160),IMPRODUCT(G160,L160))</f>
        <v>-0.771777030858048</v>
      </c>
      <c r="AM160" s="5" t="str">
        <f>IMSUM(IMPRODUCT(F160,K160),IMPRODUCT(G160,M160))</f>
        <v>-48.3307471515726i</v>
      </c>
      <c r="AN160" s="5" t="str">
        <f>IMSUM(IMPRODUCT(H160,J160),IMPRODUCT(I160,L160))</f>
        <v>-2.82639923944557E-003i</v>
      </c>
      <c r="AO160" s="5" t="str">
        <f>IMSUM(IMPRODUCT(H160,K160),IMPRODUCT(I160,M160))</f>
        <v>-1.11871431577726</v>
      </c>
      <c r="AP160" s="4" t="str">
        <f>IMSUM(IMPRODUCT(AL160,N160),IMPRODUCT(AM160,P160))</f>
        <v>0.422250188446915</v>
      </c>
      <c r="AQ160" s="5" t="str">
        <f>IMSUM(IMPRODUCT(AL160,O160),IMPRODUCT(AM160,Q160))</f>
        <v>-120.578149731906i</v>
      </c>
      <c r="AR160" s="5" t="str">
        <f>IMSUM(IMPRODUCT(AN160,N160),IMPRODUCT(AO160,P160))</f>
        <v>-5.89678481848609E-003i</v>
      </c>
      <c r="AS160" s="5" t="str">
        <f>IMSUM(IMPRODUCT(AN160,O160),IMPRODUCT(AO160,Q160))</f>
        <v>0.684372926588027</v>
      </c>
      <c r="AT160" s="4" t="str">
        <f>IMSUM(IMPRODUCT(AP160,R160),IMPRODUCT(AQ160,T160))</f>
        <v>0.500111859353682</v>
      </c>
      <c r="AU160" s="5" t="str">
        <f>IMSUM(IMPRODUCT(AP160,S160),IMPRODUCT(AQ160,U160))</f>
        <v>107.406949511479i</v>
      </c>
      <c r="AV160" s="5" t="str">
        <f>IMSUM(IMPRODUCT(AR160,R160),IMPRODUCT(AS160,T160))</f>
        <v>4.39253988032325E-003i</v>
      </c>
      <c r="AW160" s="5" t="str">
        <f>IMSUM(IMPRODUCT(AR160,S160),IMPRODUCT(AS160,U160))</f>
        <v>1.05618509333013</v>
      </c>
      <c r="AX160" s="4" t="str">
        <f>IMSUM(IMPRODUCT(AT160,V160),IMPRODUCT(AU160,X160))</f>
        <v>-0.525185209921489</v>
      </c>
      <c r="AY160" s="5" t="str">
        <f>IMSUM(IMPRODUCT(AT160,W160),IMPRODUCT(AU160,Y160))</f>
        <v>99.9958824190025i</v>
      </c>
      <c r="AZ160" s="5" t="str">
        <f>IMSUM(IMPRODUCT(AV160,V160),IMPRODUCT(AW160,X160))</f>
        <v>3.41981107406415E-003i</v>
      </c>
      <c r="BA160" s="5" t="str">
        <f>IMSUM(IMPRODUCT(AV160,W160),IMPRODUCT(AW160,Y160))</f>
        <v>-1.25295412268191</v>
      </c>
      <c r="BB160" s="4" t="str">
        <f>IMSUM(IMPRODUCT(AX160,Z160),IMPRODUCT(AY160,AB160))</f>
        <v>-0.237513786759327</v>
      </c>
      <c r="BC160" s="5" t="str">
        <f>IMSUM(IMPRODUCT(AX160,AA160),IMPRODUCT(AY160,AC160))</f>
        <v>-169.582386984328i</v>
      </c>
      <c r="BD160" s="5" t="str">
        <f>IMSUM(IMPRODUCT(AZ160,Z160),IMPRODUCT(BA160,AB160))</f>
        <v>-4.84995162968288E-003i</v>
      </c>
      <c r="BE160" s="5" t="str">
        <f>IMSUM(IMPRODUCT(AZ160,AA160),IMPRODUCT(BA160,AC160))</f>
        <v>-0.747466613631782</v>
      </c>
      <c r="BF160" s="4" t="str">
        <f>IMSUM(IMPRODUCT(BB160,AD160),IMPRODUCT(BC160,AF160))</f>
        <v>0.520910210844021</v>
      </c>
      <c r="BG160" s="5" t="str">
        <f>IMSUM(IMPRODUCT(BB160,AE160),IMPRODUCT(BC160,AG160))</f>
        <v>-49.8009812203706i</v>
      </c>
      <c r="BH160" s="5" t="str">
        <f>IMSUM(IMPRODUCT(BD160,AD160),IMPRODUCT(BE160,AF160))</f>
        <v>-1.19105338892734E-003i</v>
      </c>
      <c r="BI160" s="5" t="str">
        <f>IMSUM(IMPRODUCT(BD160,AE160),IMPRODUCT(BE160,AG160))</f>
        <v>1.80584744349972</v>
      </c>
      <c r="BJ160" s="4" t="str">
        <f>IMSUM(IMPRODUCT(BF160,AH160),IMPRODUCT(BG160,AJ160))</f>
        <v>1.93868157989712E-002</v>
      </c>
      <c r="BK160" s="5" t="str">
        <f>IMSUM(IMPRODUCT(BF160,AI160),IMPRODUCT(BG160,AK160))</f>
        <v>223.279683335766i</v>
      </c>
      <c r="BL160" s="5" t="str">
        <f>IMSUM(IMPRODUCT(BH160,AH160),IMPRODUCT(BI160,AJ160))</f>
        <v>4.46559366671537E-003i</v>
      </c>
      <c r="BM160" s="5" t="str">
        <f>IMSUM(IMPRODUCT(BH160,AI160),IMPRODUCT(BI160,AK160))</f>
        <v>0.150806621361247</v>
      </c>
      <c r="BN160" s="4">
        <f t="shared" si="4"/>
        <v>500</v>
      </c>
      <c r="BO160" s="4">
        <v>1</v>
      </c>
      <c r="BP160" s="4" t="str">
        <f>IMSUM(IMPRODUCT($BJ160,$BN160),IMPRODUCT($BK160,$BO160))</f>
        <v>9.6934078994856+223.279683335766i</v>
      </c>
      <c r="BQ160" s="4" t="str">
        <f>IMSUM(IMPRODUCT($BL160,$BN160),IMPRODUCT($BM160,$BO160))</f>
        <v>0.150806621361247+2.23279683335769i</v>
      </c>
      <c r="BR160" s="4" t="str">
        <f>IMDIV($BP160,$BQ160)</f>
        <v>99.8377768690781+2.40182619136625i</v>
      </c>
      <c r="BS160" s="4" t="str">
        <f>IMDIV(IMSUB($BQ$100,$BR160),IMSUM($BQ$100,$BR160))</f>
        <v>6.67224246191324E-004-1.2026898946193E-002i</v>
      </c>
      <c r="BT160" s="4">
        <f>IMABS($BS160)</f>
        <v>0.012045392748127553</v>
      </c>
      <c r="BU160" s="4">
        <f t="shared" si="5"/>
        <v>1.0243845064534562</v>
      </c>
      <c r="BV160" s="4">
        <f t="shared" si="6"/>
        <v>-0.0006301700366520809</v>
      </c>
    </row>
    <row r="161" spans="1:74" ht="12.75">
      <c r="A161" s="5">
        <v>58</v>
      </c>
      <c r="B161" s="5">
        <f t="shared" si="1"/>
        <v>11.4</v>
      </c>
      <c r="C161" s="4">
        <f t="shared" si="7"/>
        <v>1.7907078125461822</v>
      </c>
      <c r="D161" s="4">
        <f t="shared" si="2"/>
        <v>0.9759167619387474</v>
      </c>
      <c r="E161" s="5">
        <f t="shared" si="3"/>
        <v>-0.21814324139654256</v>
      </c>
      <c r="F161" s="9" t="str">
        <f>IF($B$7&gt;0,COMPLEX($E161,0),1)</f>
        <v>-0.218143241396543</v>
      </c>
      <c r="G161" s="9" t="str">
        <f>IF($B$7&gt;0,COMPLEX(0,$D161*$B$16),0)</f>
        <v>116.701412114213i</v>
      </c>
      <c r="H161" s="9" t="str">
        <f>IF($B$7&gt;0,COMPLEX(0,$D161/$B$16),0)</f>
        <v>8.16111398293028E-003i</v>
      </c>
      <c r="I161" s="9" t="str">
        <f>IF($B$7&gt;0,COMPLEX($E161,0),1)</f>
        <v>-0.218143241396543</v>
      </c>
      <c r="J161" s="9" t="str">
        <f>IF($B$7&gt;1,COMPLEX($E161,0),1)</f>
        <v>-0.218143241396543</v>
      </c>
      <c r="K161" s="9" t="str">
        <f>IF($B$7&gt;1,COMPLEX(0,$D161*$B$17),0)</f>
        <v>139.553086088976i</v>
      </c>
      <c r="L161" s="9" t="str">
        <f>IF($B$7&gt;1,COMPLEX(0,$D161/$B$17),0)</f>
        <v>6.82473998192895E-003i</v>
      </c>
      <c r="M161" s="9" t="str">
        <f>IF($B$7&gt;1,COMPLEX($E161,0),1)</f>
        <v>-0.218143241396543</v>
      </c>
      <c r="N161" s="9" t="str">
        <f>IF($B$7&gt;2,COMPLEX($E161,0),1)</f>
        <v>-0.218143241396543</v>
      </c>
      <c r="O161" s="9" t="str">
        <f>IF($B$7&gt;2,COMPLEX(0,$D161*$B$18),0)</f>
        <v>166.879418887387i</v>
      </c>
      <c r="P161" s="9" t="str">
        <f>IF($B$7&gt;2,COMPLEX(0,$D161/$B$18),0)</f>
        <v>5.70719584585632E-003i</v>
      </c>
      <c r="Q161" s="9" t="str">
        <f>IF($B$7&gt;2,COMPLEX($E161,0),1)</f>
        <v>-0.218143241396543</v>
      </c>
      <c r="R161" s="9" t="str">
        <f>IF($B$7&gt;3,COMPLEX($E161,0),1)</f>
        <v>-0.218143241396543</v>
      </c>
      <c r="S161" s="9" t="str">
        <f>IF($B$7&gt;3,COMPLEX(0,$D161*$B$19),0)</f>
        <v>199.556607658508i</v>
      </c>
      <c r="T161" s="9" t="str">
        <f>IF($B$7&gt;3,COMPLEX(0,$D161/$B$19),0)</f>
        <v>4.77264840993304E-003i</v>
      </c>
      <c r="U161" s="9" t="str">
        <f>IF($B$7&gt;3,COMPLEX($E161,0),1)</f>
        <v>-0.218143241396543</v>
      </c>
      <c r="V161" s="9" t="str">
        <f>IF($B$7&gt;4,COMPLEX($E161,0),1)</f>
        <v>-0.218143241396543</v>
      </c>
      <c r="W161" s="9" t="str">
        <f>IF($B$7&gt;4,COMPLEX(0,$D161*$B$20),0)</f>
        <v>238.632420496652i</v>
      </c>
      <c r="X161" s="9" t="str">
        <f>IF($B$7&gt;4,COMPLEX(0,$D161/$B$20),0)</f>
        <v>3.99113215317016E-003i</v>
      </c>
      <c r="Y161" s="9" t="str">
        <f>IF($B$7&gt;4,COMPLEX($E161,0),1)</f>
        <v>-0.218143241396543</v>
      </c>
      <c r="Z161" s="9" t="str">
        <f>IF($B$7&gt;5,COMPLEX($E161,0),1)</f>
        <v>-0.218143241396543</v>
      </c>
      <c r="AA161" s="9" t="str">
        <f>IF($B$7&gt;5,COMPLEX(0,$D161*$B$21),0)</f>
        <v>285.359792292816i</v>
      </c>
      <c r="AB161" s="9" t="str">
        <f>IF($B$7&gt;5,COMPLEX(0,$D161/$B$21),0)</f>
        <v>3.33758837774773E-003i</v>
      </c>
      <c r="AC161" s="9" t="str">
        <f>IF($B$7&gt;5,COMPLEX($E161,0),1)</f>
        <v>-0.218143241396543</v>
      </c>
      <c r="AD161" s="9" t="str">
        <f>IF($B$7&gt;6,COMPLEX($E161,0),1)</f>
        <v>-0.218143241396543</v>
      </c>
      <c r="AE161" s="9" t="str">
        <f>IF($B$7&gt;6,COMPLEX(0,$D161*$B$22),0)</f>
        <v>341.236999096448i</v>
      </c>
      <c r="AF161" s="9" t="str">
        <f>IF($B$7&gt;6,COMPLEX(0,$D161/$B$22),0)</f>
        <v>2.79106172177953E-003i</v>
      </c>
      <c r="AG161" s="9" t="str">
        <f>IF($B$7&gt;6,COMPLEX($E161,0),1)</f>
        <v>-0.218143241396543</v>
      </c>
      <c r="AH161" s="9" t="str">
        <f>IF($B$7&gt;7,COMPLEX($E161,0),1)</f>
        <v>-0.218143241396543</v>
      </c>
      <c r="AI161" s="9" t="str">
        <f>IF($B$7&gt;7,COMPLEX(0,$D161*$B$23),0)</f>
        <v>408.055699146514i</v>
      </c>
      <c r="AJ161" s="9" t="str">
        <f>IF($B$7&gt;7,COMPLEX(0,$D161/$B$23),0)</f>
        <v>2.33402824228425E-003i</v>
      </c>
      <c r="AK161" s="9" t="str">
        <f>IF($B$7&gt;7,COMPLEX($E161,0),1)</f>
        <v>-0.218143241396543</v>
      </c>
      <c r="AL161" s="4" t="str">
        <f>IMSUM(IMPRODUCT(F161,J161),IMPRODUCT(G161,L161))</f>
        <v>-0.748870319436447</v>
      </c>
      <c r="AM161" s="5" t="str">
        <f>IMSUM(IMPRODUCT(F161,K161),IMPRODUCT(G161,M161))</f>
        <v>-55.9001868604882i</v>
      </c>
      <c r="AN161" s="5" t="str">
        <f>IMSUM(IMPRODUCT(H161,J161),IMPRODUCT(I161,L161))</f>
        <v>-3.26906275898963E-003i</v>
      </c>
      <c r="AO161" s="5" t="str">
        <f>IMSUM(IMPRODUCT(H161,K161),IMPRODUCT(I161,M161))</f>
        <v>-1.09132216847483</v>
      </c>
      <c r="AP161" s="4" t="str">
        <f>IMSUM(IMPRODUCT(AL161,N161),IMPRODUCT(AM161,P161))</f>
        <v>0.482394313100301</v>
      </c>
      <c r="AQ161" s="5" t="str">
        <f>IMSUM(IMPRODUCT(AL161,O161),IMPRODUCT(AM161,Q161))</f>
        <v>-112.776795773147i</v>
      </c>
      <c r="AR161" s="5" t="str">
        <f>IMSUM(IMPRODUCT(AN161,N161),IMPRODUCT(AO161,P161))</f>
        <v>-5.51526539983574E-003i</v>
      </c>
      <c r="AS161" s="5" t="str">
        <f>IMSUM(IMPRODUCT(AN161,O161),IMPRODUCT(AO161,Q161))</f>
        <v>0.783603848765591</v>
      </c>
      <c r="AT161" s="4" t="str">
        <f>IMSUM(IMPRODUCT(AP161,R161),IMPRODUCT(AQ161,T161))</f>
        <v>0.433012935933094</v>
      </c>
      <c r="AU161" s="5" t="str">
        <f>IMSUM(IMPRODUCT(AP161,S161),IMPRODUCT(AQ161,U161))</f>
        <v>120.866468460322i</v>
      </c>
      <c r="AV161" s="5" t="str">
        <f>IMSUM(IMPRODUCT(AR161,R161),IMPRODUCT(AS161,T161))</f>
        <v>4.94298353431088E-003i</v>
      </c>
      <c r="AW161" s="5" t="str">
        <f>IMSUM(IMPRODUCT(AR161,S161),IMPRODUCT(AS161,U161))</f>
        <v>0.929669769987038</v>
      </c>
      <c r="AX161" s="4" t="str">
        <f>IMSUM(IMPRODUCT(AT161,V161),IMPRODUCT(AU161,X161))</f>
        <v>-0.576852893923197</v>
      </c>
      <c r="AY161" s="5" t="str">
        <f>IMSUM(IMPRODUCT(AT161,W161),IMPRODUCT(AU161,Y161))</f>
        <v>76.9647218019883i</v>
      </c>
      <c r="AZ161" s="5" t="str">
        <f>IMSUM(IMPRODUCT(AV161,V161),IMPRODUCT(AW161,X161))</f>
        <v>2.63215646048125E-003i</v>
      </c>
      <c r="BA161" s="5" t="str">
        <f>IMSUM(IMPRODUCT(AV161,W161),IMPRODUCT(AW161,Y161))</f>
        <v>-1.38235730232105</v>
      </c>
      <c r="BB161" s="4" t="str">
        <f>IMSUM(IMPRODUCT(AX161,Z161),IMPRODUCT(AY161,AB161))</f>
        <v>-0.131040000893522</v>
      </c>
      <c r="BC161" s="5" t="str">
        <f>IMSUM(IMPRODUCT(AX161,AA161),IMPRODUCT(AY161,AC161))</f>
        <v>-181.399955880502i</v>
      </c>
      <c r="BD161" s="5" t="str">
        <f>IMSUM(IMPRODUCT(AZ161,Z161),IMPRODUCT(BA161,AB161))</f>
        <v>-5.18792680827367E-003i</v>
      </c>
      <c r="BE161" s="5" t="str">
        <f>IMSUM(IMPRODUCT(AZ161,AA161),IMPRODUCT(BA161,AC161))</f>
        <v>-0.449559718148628</v>
      </c>
      <c r="BF161" s="4" t="str">
        <f>IMSUM(IMPRODUCT(BB161,AD161),IMPRODUCT(BC161,AF161))</f>
        <v>0.534883963738084</v>
      </c>
      <c r="BG161" s="5" t="str">
        <f>IMSUM(IMPRODUCT(BB161,AE161),IMPRODUCT(BC161,AG161))</f>
        <v>-5.1445223015387i</v>
      </c>
      <c r="BH161" s="5" t="str">
        <f>IMSUM(IMPRODUCT(BD161,AD161),IMPRODUCT(BE161,AF161))</f>
        <v>-1.2303775089379E-004i</v>
      </c>
      <c r="BI161" s="5" t="str">
        <f>IMSUM(IMPRODUCT(BD161,AE161),IMPRODUCT(BE161,AG161))</f>
        <v>1.86838098970558</v>
      </c>
      <c r="BJ161" s="4" t="str">
        <f>IMSUM(IMPRODUCT(BF161,AH161),IMPRODUCT(BG161,AJ161))</f>
        <v>-0.104673861276004</v>
      </c>
      <c r="BK161" s="5" t="str">
        <f>IMSUM(IMPRODUCT(BF161,AI161),IMPRODUCT(BG161,AK161))</f>
        <v>219.384692555696i</v>
      </c>
      <c r="BL161" s="5" t="str">
        <f>IMSUM(IMPRODUCT(BH161,AH161),IMPRODUCT(BI161,AJ161))</f>
        <v>4.38769385111393E-003i</v>
      </c>
      <c r="BM161" s="5" t="str">
        <f>IMSUM(IMPRODUCT(BH161,AI161),IMPRODUCT(BI161,AK161))</f>
        <v>-0.357368429795676</v>
      </c>
      <c r="BN161" s="4">
        <f t="shared" si="4"/>
        <v>500</v>
      </c>
      <c r="BO161" s="4">
        <v>1</v>
      </c>
      <c r="BP161" s="4" t="str">
        <f>IMSUM(IMPRODUCT($BJ161,$BN161),IMPRODUCT($BK161,$BO161))</f>
        <v>-52.336930638002+219.384692555696i</v>
      </c>
      <c r="BQ161" s="4" t="str">
        <f>IMSUM(IMPRODUCT($BL161,$BN161),IMPRODUCT($BM161,$BO161))</f>
        <v>-0.357368429795676+2.19384692555697i</v>
      </c>
      <c r="BR161" s="4" t="str">
        <f>IMDIV($BP161,$BQ161)</f>
        <v>101.200715575706+7.37106569748828i</v>
      </c>
      <c r="BS161" s="4" t="str">
        <f>IMDIV(IMSUB($BQ$100,$BR161),IMSUM($BQ$100,$BR161))</f>
        <v>-7.30010362330271E-003-3.63679429923756E-002i</v>
      </c>
      <c r="BT161" s="4">
        <f>IMABS($BS161)</f>
        <v>0.037093379333887046</v>
      </c>
      <c r="BU161" s="4">
        <f t="shared" si="5"/>
        <v>1.0770446033660601</v>
      </c>
      <c r="BV161" s="4">
        <f t="shared" si="6"/>
        <v>-0.005979654085434575</v>
      </c>
    </row>
    <row r="162" spans="1:74" ht="12.75">
      <c r="A162" s="5">
        <v>59</v>
      </c>
      <c r="B162" s="5">
        <f t="shared" si="1"/>
        <v>11.600000000000001</v>
      </c>
      <c r="C162" s="4">
        <f t="shared" si="7"/>
        <v>1.8221237390820801</v>
      </c>
      <c r="D162" s="4">
        <f t="shared" si="2"/>
        <v>0.9685831611286311</v>
      </c>
      <c r="E162" s="5">
        <f t="shared" si="3"/>
        <v>-0.24868988716485485</v>
      </c>
      <c r="F162" s="9" t="str">
        <f>IF($B$7&gt;0,COMPLEX($E162,0),1)</f>
        <v>-0.248689887164855</v>
      </c>
      <c r="G162" s="9" t="str">
        <f>IF($B$7&gt;0,COMPLEX(0,$D162*$B$16),0)</f>
        <v>115.824450467686i</v>
      </c>
      <c r="H162" s="9" t="str">
        <f>IF($B$7&gt;0,COMPLEX(0,$D162/$B$16),0)</f>
        <v>8.09978667054989E-003i</v>
      </c>
      <c r="I162" s="9" t="str">
        <f>IF($B$7&gt;0,COMPLEX($E162,0),1)</f>
        <v>-0.248689887164855</v>
      </c>
      <c r="J162" s="9" t="str">
        <f>IF($B$7&gt;1,COMPLEX($E162,0),1)</f>
        <v>-0.248689887164855</v>
      </c>
      <c r="K162" s="9" t="str">
        <f>IF($B$7&gt;1,COMPLEX(0,$D162*$B$17),0)</f>
        <v>138.504403798529i</v>
      </c>
      <c r="L162" s="9" t="str">
        <f>IF($B$7&gt;1,COMPLEX(0,$D162/$B$17),0)</f>
        <v>6.77345495372544E-003i</v>
      </c>
      <c r="M162" s="9" t="str">
        <f>IF($B$7&gt;1,COMPLEX($E162,0),1)</f>
        <v>-0.248689887164855</v>
      </c>
      <c r="N162" s="9" t="str">
        <f>IF($B$7&gt;2,COMPLEX($E162,0),1)</f>
        <v>-0.248689887164855</v>
      </c>
      <c r="O162" s="9" t="str">
        <f>IF($B$7&gt;2,COMPLEX(0,$D162*$B$18),0)</f>
        <v>165.625390788604i</v>
      </c>
      <c r="P162" s="9" t="str">
        <f>IF($B$7&gt;2,COMPLEX(0,$D162/$B$18),0)</f>
        <v>5.66430868814882E-003i</v>
      </c>
      <c r="Q162" s="9" t="str">
        <f>IF($B$7&gt;2,COMPLEX($E162,0),1)</f>
        <v>-0.248689887164855</v>
      </c>
      <c r="R162" s="9" t="str">
        <f>IF($B$7&gt;3,COMPLEX($E162,0),1)</f>
        <v>-0.248689887164855</v>
      </c>
      <c r="S162" s="9" t="str">
        <f>IF($B$7&gt;3,COMPLEX(0,$D162*$B$19),0)</f>
        <v>198.05702433679i</v>
      </c>
      <c r="T162" s="9" t="str">
        <f>IF($B$7&gt;3,COMPLEX(0,$D162/$B$19),0)</f>
        <v>4.7367839800856E-003i</v>
      </c>
      <c r="U162" s="9" t="str">
        <f>IF($B$7&gt;3,COMPLEX($E162,0),1)</f>
        <v>-0.248689887164855</v>
      </c>
      <c r="V162" s="9" t="str">
        <f>IF($B$7&gt;4,COMPLEX($E162,0),1)</f>
        <v>-0.248689887164855</v>
      </c>
      <c r="W162" s="9" t="str">
        <f>IF($B$7&gt;4,COMPLEX(0,$D162*$B$20),0)</f>
        <v>236.83919900428i</v>
      </c>
      <c r="X162" s="9" t="str">
        <f>IF($B$7&gt;4,COMPLEX(0,$D162/$B$20),0)</f>
        <v>3.9611404867358E-003i</v>
      </c>
      <c r="Y162" s="9" t="str">
        <f>IF($B$7&gt;4,COMPLEX($E162,0),1)</f>
        <v>-0.248689887164855</v>
      </c>
      <c r="Z162" s="9" t="str">
        <f>IF($B$7&gt;5,COMPLEX($E162,0),1)</f>
        <v>-0.248689887164855</v>
      </c>
      <c r="AA162" s="9" t="str">
        <f>IF($B$7&gt;5,COMPLEX(0,$D162*$B$21),0)</f>
        <v>283.215434407441i</v>
      </c>
      <c r="AB162" s="9" t="str">
        <f>IF($B$7&gt;5,COMPLEX(0,$D162/$B$21),0)</f>
        <v>3.31250781577208E-003i</v>
      </c>
      <c r="AC162" s="9" t="str">
        <f>IF($B$7&gt;5,COMPLEX($E162,0),1)</f>
        <v>-0.248689887164855</v>
      </c>
      <c r="AD162" s="9" t="str">
        <f>IF($B$7&gt;6,COMPLEX($E162,0),1)</f>
        <v>-0.248689887164855</v>
      </c>
      <c r="AE162" s="9" t="str">
        <f>IF($B$7&gt;6,COMPLEX(0,$D162*$B$22),0)</f>
        <v>338.672747686272i</v>
      </c>
      <c r="AF162" s="9" t="str">
        <f>IF($B$7&gt;6,COMPLEX(0,$D162/$B$22),0)</f>
        <v>2.77008807597057E-003i</v>
      </c>
      <c r="AG162" s="9" t="str">
        <f>IF($B$7&gt;6,COMPLEX($E162,0),1)</f>
        <v>-0.248689887164855</v>
      </c>
      <c r="AH162" s="9" t="str">
        <f>IF($B$7&gt;7,COMPLEX($E162,0),1)</f>
        <v>-0.248689887164855</v>
      </c>
      <c r="AI162" s="9" t="str">
        <f>IF($B$7&gt;7,COMPLEX(0,$D162*$B$23),0)</f>
        <v>404.989333527495i</v>
      </c>
      <c r="AJ162" s="9" t="str">
        <f>IF($B$7&gt;7,COMPLEX(0,$D162/$B$23),0)</f>
        <v>2.31648900935373E-003i</v>
      </c>
      <c r="AK162" s="9" t="str">
        <f>IF($B$7&gt;7,COMPLEX($E162,0),1)</f>
        <v>-0.248689887164855</v>
      </c>
      <c r="AL162" s="4" t="str">
        <f>IMSUM(IMPRODUCT(F162,J162),IMPRODUCT(G162,L162))</f>
        <v>-0.722685037804807</v>
      </c>
      <c r="AM162" s="5" t="str">
        <f>IMSUM(IMPRODUCT(F162,K162),IMPRODUCT(G162,M162))</f>
        <v>-63.2490140702319i</v>
      </c>
      <c r="AN162" s="5" t="str">
        <f>IMSUM(IMPRODUCT(H162,J162),IMPRODUCT(I162,L162))</f>
        <v>-3.69882478131666E-003i</v>
      </c>
      <c r="AO162" s="5" t="str">
        <f>IMSUM(IMPRODUCT(H162,K162),IMPRODUCT(I162,M162))</f>
        <v>-1.06000946372171</v>
      </c>
      <c r="AP162" s="4" t="str">
        <f>IMSUM(IMPRODUCT(AL162,N162),IMPRODUCT(AM162,P162))</f>
        <v>0.537986400422267</v>
      </c>
      <c r="AQ162" s="5" t="str">
        <f>IMSUM(IMPRODUCT(AL162,O162),IMPRODUCT(AM162,Q162))</f>
        <v>-103.965601631084i</v>
      </c>
      <c r="AR162" s="5" t="str">
        <f>IMSUM(IMPRODUCT(AN162,N162),IMPRODUCT(AO162,P162))</f>
        <v>-5.08436049737064E-003i</v>
      </c>
      <c r="AS162" s="5" t="str">
        <f>IMSUM(IMPRODUCT(AN162,O162),IMPRODUCT(AO162,Q162))</f>
        <v>0.876232933790776</v>
      </c>
      <c r="AT162" s="4" t="str">
        <f>IMSUM(IMPRODUCT(AP162,R162),IMPRODUCT(AQ162,T162))</f>
        <v>0.35867081906884</v>
      </c>
      <c r="AU162" s="5" t="str">
        <f>IMSUM(IMPRODUCT(AP162,S162),IMPRODUCT(AQ162,U162))</f>
        <v>132.407179339955i</v>
      </c>
      <c r="AV162" s="5" t="str">
        <f>IMSUM(IMPRODUCT(AR162,R162),IMPRODUCT(AS162,T162))</f>
        <v>5.4149551620001E-003i</v>
      </c>
      <c r="AW162" s="5" t="str">
        <f>IMSUM(IMPRODUCT(AR162,S162),IMPRODUCT(AS162,U162))</f>
        <v>0.789083041330192</v>
      </c>
      <c r="AX162" s="4" t="str">
        <f>IMSUM(IMPRODUCT(AT162,V162),IMPRODUCT(AU162,X162))</f>
        <v>-0.61368124434154</v>
      </c>
      <c r="AY162" s="5" t="str">
        <f>IMSUM(IMPRODUCT(AT162,W162),IMPRODUCT(AU162,Y162))</f>
        <v>52.018983004603i</v>
      </c>
      <c r="AZ162" s="5" t="str">
        <f>IMSUM(IMPRODUCT(AV162,V162),IMPRODUCT(AW162,X162))</f>
        <v>1.77902419416909E-003i</v>
      </c>
      <c r="BA162" s="5" t="str">
        <f>IMSUM(IMPRODUCT(AV162,W162),IMPRODUCT(AW162,Y162))</f>
        <v>-1.47871061572431</v>
      </c>
      <c r="BB162" s="4" t="str">
        <f>IMSUM(IMPRODUCT(AX162,Z162),IMPRODUCT(AY162,AB162))</f>
        <v>-1.9696968360777E-002</v>
      </c>
      <c r="BC162" s="5" t="str">
        <f>IMSUM(IMPRODUCT(AX162,AA162),IMPRODUCT(AY162,AC162))</f>
        <v>-186.740595217733i</v>
      </c>
      <c r="BD162" s="5" t="str">
        <f>IMSUM(IMPRODUCT(AZ162,Z162),IMPRODUCT(BA162,AB162))</f>
        <v>-5.34066579796338E-003i</v>
      </c>
      <c r="BE162" s="5" t="str">
        <f>IMSUM(IMPRODUCT(AZ162,AA162),IMPRODUCT(BA162,AC162))</f>
        <v>-0.136106733798995</v>
      </c>
      <c r="BF162" s="4" t="str">
        <f>IMSUM(IMPRODUCT(BB162,AD162),IMPRODUCT(BC162,AF162))</f>
        <v>0.52218633295142</v>
      </c>
      <c r="BG162" s="5" t="str">
        <f>IMSUM(IMPRODUCT(BB162,AE162),IMPRODUCT(BC162,AG162))</f>
        <v>39.769671157962i</v>
      </c>
      <c r="BH162" s="5" t="str">
        <f>IMSUM(IMPRODUCT(BD162,AD162),IMPRODUCT(BE162,AF162))</f>
        <v>9.51141934324813E-004i</v>
      </c>
      <c r="BI162" s="5" t="str">
        <f>IMSUM(IMPRODUCT(BD162,AE162),IMPRODUCT(BE162,AG162))</f>
        <v>1.8425863285412</v>
      </c>
      <c r="BJ162" s="4" t="str">
        <f>IMSUM(IMPRODUCT(BF162,AH162),IMPRODUCT(BG162,AJ162))</f>
        <v>-0.221988466363749</v>
      </c>
      <c r="BK162" s="5" t="str">
        <f>IMSUM(IMPRODUCT(BF162,AI162),IMPRODUCT(BG162,AK162))</f>
        <v>201.589579926305i</v>
      </c>
      <c r="BL162" s="5" t="str">
        <f>IMSUM(IMPRODUCT(BH162,AH162),IMPRODUCT(BI162,AJ162))</f>
        <v>4.03179159852613E-003i</v>
      </c>
      <c r="BM162" s="5" t="str">
        <f>IMSUM(IMPRODUCT(BH162,AI162),IMPRODUCT(BI162,AK162))</f>
        <v>-0.843434924208673</v>
      </c>
      <c r="BN162" s="4">
        <f t="shared" si="4"/>
        <v>500</v>
      </c>
      <c r="BO162" s="4">
        <v>1</v>
      </c>
      <c r="BP162" s="4" t="str">
        <f>IMSUM(IMPRODUCT($BJ162,$BN162),IMPRODUCT($BK162,$BO162))</f>
        <v>-110.994233181875+201.589579926305i</v>
      </c>
      <c r="BQ162" s="4" t="str">
        <f>IMSUM(IMPRODUCT($BL162,$BN162),IMPRODUCT($BM162,$BO162))</f>
        <v>-0.843434924208673+2.01589579926307i</v>
      </c>
      <c r="BR162" s="4" t="str">
        <f>IMDIV($BP162,$BQ162)</f>
        <v>104.707253970502+11.2508188039569i</v>
      </c>
      <c r="BS162" s="4" t="str">
        <f>IMDIV(IMSUB($BQ$100,$BR162),IMSUM($BQ$100,$BR162))</f>
        <v>-2.59373638121256E-002-5.35349969817559E-002i</v>
      </c>
      <c r="BT162" s="4">
        <f>IMABS($BS162)</f>
        <v>0.0594873326293857</v>
      </c>
      <c r="BU162" s="4">
        <f t="shared" si="5"/>
        <v>1.1264998009983087</v>
      </c>
      <c r="BV162" s="4">
        <f t="shared" si="6"/>
        <v>-0.0153958214838672</v>
      </c>
    </row>
    <row r="163" spans="1:74" ht="12.75">
      <c r="A163" s="5">
        <v>60</v>
      </c>
      <c r="B163" s="5">
        <f t="shared" si="1"/>
        <v>11.8</v>
      </c>
      <c r="C163" s="4">
        <f t="shared" si="7"/>
        <v>1.8535396656179781</v>
      </c>
      <c r="D163" s="4">
        <f t="shared" si="2"/>
        <v>0.9602936856769431</v>
      </c>
      <c r="E163" s="5">
        <f t="shared" si="3"/>
        <v>-0.27899110603922933</v>
      </c>
      <c r="F163" s="9" t="str">
        <f>IF($B$7&gt;0,COMPLEX($E163,0),1)</f>
        <v>-0.278991106039229</v>
      </c>
      <c r="G163" s="9" t="str">
        <f>IF($B$7&gt;0,COMPLEX(0,$D163*$B$16),0)</f>
        <v>114.833184072204i</v>
      </c>
      <c r="H163" s="9" t="str">
        <f>IF($B$7&gt;0,COMPLEX(0,$D163/$B$16),0)</f>
        <v>8.03046584662478E-003i</v>
      </c>
      <c r="I163" s="9" t="str">
        <f>IF($B$7&gt;0,COMPLEX($E163,0),1)</f>
        <v>-0.278991106039229</v>
      </c>
      <c r="J163" s="9" t="str">
        <f>IF($B$7&gt;1,COMPLEX($E163,0),1)</f>
        <v>-0.278991106039229</v>
      </c>
      <c r="K163" s="9" t="str">
        <f>IF($B$7&gt;1,COMPLEX(0,$D163*$B$17),0)</f>
        <v>137.319034383371i</v>
      </c>
      <c r="L163" s="9" t="str">
        <f>IF($B$7&gt;1,COMPLEX(0,$D163/$B$17),0)</f>
        <v>6.71548534325173E-003i</v>
      </c>
      <c r="M163" s="9" t="str">
        <f>IF($B$7&gt;1,COMPLEX($E163,0),1)</f>
        <v>-0.278991106039229</v>
      </c>
      <c r="N163" s="9" t="str">
        <f>IF($B$7&gt;2,COMPLEX($E163,0),1)</f>
        <v>-0.278991106039229</v>
      </c>
      <c r="O163" s="9" t="str">
        <f>IF($B$7&gt;2,COMPLEX(0,$D163*$B$18),0)</f>
        <v>164.207910425309i</v>
      </c>
      <c r="P163" s="9" t="str">
        <f>IF($B$7&gt;2,COMPLEX(0,$D163/$B$18),0)</f>
        <v>5.61583154162638E-003i</v>
      </c>
      <c r="Q163" s="9" t="str">
        <f>IF($B$7&gt;2,COMPLEX($E163,0),1)</f>
        <v>-0.278991106039229</v>
      </c>
      <c r="R163" s="9" t="str">
        <f>IF($B$7&gt;3,COMPLEX($E163,0),1)</f>
        <v>-0.278991106039229</v>
      </c>
      <c r="S163" s="9" t="str">
        <f>IF($B$7&gt;3,COMPLEX(0,$D163*$B$19),0)</f>
        <v>196.361982643766i</v>
      </c>
      <c r="T163" s="9" t="str">
        <f>IF($B$7&gt;3,COMPLEX(0,$D163/$B$19),0)</f>
        <v>4.69624491632869E-003i</v>
      </c>
      <c r="U163" s="9" t="str">
        <f>IF($B$7&gt;3,COMPLEX($E163,0),1)</f>
        <v>-0.278991106039229</v>
      </c>
      <c r="V163" s="9" t="str">
        <f>IF($B$7&gt;4,COMPLEX($E163,0),1)</f>
        <v>-0.278991106039229</v>
      </c>
      <c r="W163" s="9" t="str">
        <f>IF($B$7&gt;4,COMPLEX(0,$D163*$B$20),0)</f>
        <v>234.812245816434i</v>
      </c>
      <c r="X163" s="9" t="str">
        <f>IF($B$7&gt;4,COMPLEX(0,$D163/$B$20),0)</f>
        <v>3.92723965287532E-003i</v>
      </c>
      <c r="Y163" s="9" t="str">
        <f>IF($B$7&gt;4,COMPLEX($E163,0),1)</f>
        <v>-0.278991106039229</v>
      </c>
      <c r="Z163" s="9" t="str">
        <f>IF($B$7&gt;5,COMPLEX($E163,0),1)</f>
        <v>-0.278991106039229</v>
      </c>
      <c r="AA163" s="9" t="str">
        <f>IF($B$7&gt;5,COMPLEX(0,$D163*$B$21),0)</f>
        <v>280.791577081319i</v>
      </c>
      <c r="AB163" s="9" t="str">
        <f>IF($B$7&gt;5,COMPLEX(0,$D163/$B$21),0)</f>
        <v>3.28415820850617E-003i</v>
      </c>
      <c r="AC163" s="9" t="str">
        <f>IF($B$7&gt;5,COMPLEX($E163,0),1)</f>
        <v>-0.278991106039229</v>
      </c>
      <c r="AD163" s="9" t="str">
        <f>IF($B$7&gt;6,COMPLEX($E163,0),1)</f>
        <v>-0.278991106039229</v>
      </c>
      <c r="AE163" s="9" t="str">
        <f>IF($B$7&gt;6,COMPLEX(0,$D163*$B$22),0)</f>
        <v>335.774267162587i</v>
      </c>
      <c r="AF163" s="9" t="str">
        <f>IF($B$7&gt;6,COMPLEX(0,$D163/$B$22),0)</f>
        <v>2.74638068766742E-003i</v>
      </c>
      <c r="AG163" s="9" t="str">
        <f>IF($B$7&gt;6,COMPLEX($E163,0),1)</f>
        <v>-0.278991106039229</v>
      </c>
      <c r="AH163" s="9" t="str">
        <f>IF($B$7&gt;7,COMPLEX($E163,0),1)</f>
        <v>-0.278991106039229</v>
      </c>
      <c r="AI163" s="9" t="str">
        <f>IF($B$7&gt;7,COMPLEX(0,$D163*$B$23),0)</f>
        <v>401.523292331239i</v>
      </c>
      <c r="AJ163" s="9" t="str">
        <f>IF($B$7&gt;7,COMPLEX(0,$D163/$B$23),0)</f>
        <v>2.29666368144407E-003i</v>
      </c>
      <c r="AK163" s="9" t="str">
        <f>IF($B$7&gt;7,COMPLEX($E163,0),1)</f>
        <v>-0.278991106039229</v>
      </c>
      <c r="AL163" s="4" t="str">
        <f>IMSUM(IMPRODUCT(F163,J163),IMPRODUCT(G163,L163))</f>
        <v>-0.693324527306822</v>
      </c>
      <c r="AM163" s="5" t="str">
        <f>IMSUM(IMPRODUCT(F163,K163),IMPRODUCT(G163,M163))</f>
        <v>-70.3482263171662i</v>
      </c>
      <c r="AN163" s="5" t="str">
        <f>IMSUM(IMPRODUCT(H163,J163),IMPRODUCT(I163,L163))</f>
        <v>-4.11398923206413E-003i</v>
      </c>
      <c r="AO163" s="5" t="str">
        <f>IMSUM(IMPRODUCT(H163,K163),IMPRODUCT(I163,M163))</f>
        <v>-1.02489977845816</v>
      </c>
      <c r="AP163" s="4" t="str">
        <f>IMSUM(IMPRODUCT(AL163,N163),IMPRODUCT(AM163,P163))</f>
        <v>0.588495164966869</v>
      </c>
      <c r="AQ163" s="5" t="str">
        <f>IMSUM(IMPRODUCT(AL163,O163),IMPRODUCT(AM163,Q163))</f>
        <v>-94.2228424075438i</v>
      </c>
      <c r="AR163" s="5" t="str">
        <f>IMSUM(IMPRODUCT(AN163,N163),IMPRODUCT(AO163,P163))</f>
        <v>-4.60789809678417E-003i</v>
      </c>
      <c r="AS163" s="5" t="str">
        <f>IMSUM(IMPRODUCT(AN163,O163),IMPRODUCT(AO163,Q163))</f>
        <v>0.961487498080875</v>
      </c>
      <c r="AT163" s="4" t="str">
        <f>IMSUM(IMPRODUCT(AP163,R163),IMPRODUCT(AQ163,T163))</f>
        <v>0.278308627685622</v>
      </c>
      <c r="AU163" s="5" t="str">
        <f>IMSUM(IMPRODUCT(AP163,S163),IMPRODUCT(AQ163,U163))</f>
        <v>141.845412386606i</v>
      </c>
      <c r="AV163" s="5" t="str">
        <f>IMSUM(IMPRODUCT(AR163,R163),IMPRODUCT(AS163,T163))</f>
        <v>5.80094336151377E-003i</v>
      </c>
      <c r="AW163" s="5" t="str">
        <f>IMSUM(IMPRODUCT(AR163,S163),IMPRODUCT(AS163,U163))</f>
        <v>0.636569545572502</v>
      </c>
      <c r="AX163" s="4" t="str">
        <f>IMSUM(IMPRODUCT(AT163,V163),IMPRODUCT(AU163,X163))</f>
        <v>-0.634706559961403</v>
      </c>
      <c r="AY163" s="5" t="str">
        <f>IMSUM(IMPRODUCT(AT163,W163),IMPRODUCT(AU163,Y163))</f>
        <v>25.7766654086209i</v>
      </c>
      <c r="AZ163" s="5" t="str">
        <f>IMSUM(IMPRODUCT(AV163,V163),IMPRODUCT(AW163,X163))</f>
        <v>8.815495566855E-004i</v>
      </c>
      <c r="BA163" s="5" t="str">
        <f>IMSUM(IMPRODUCT(AV163,W163),IMPRODUCT(AW163,Y163))</f>
        <v>-1.53972978016114</v>
      </c>
      <c r="BB163" s="4" t="str">
        <f>IMSUM(IMPRODUCT(AX163,Z163),IMPRODUCT(AY163,AB163))</f>
        <v>9.24228378843466E-002</v>
      </c>
      <c r="BC163" s="5" t="str">
        <f>IMSUM(IMPRODUCT(AX163,AA163),IMPRODUCT(AY163,AC163))</f>
        <v>-185.411716347775i</v>
      </c>
      <c r="BD163" s="5" t="str">
        <f>IMSUM(IMPRODUCT(AZ163,Z163),IMPRODUCT(BA163,AB163))</f>
        <v>-5.30266068224569E-003i</v>
      </c>
      <c r="BE163" s="5" t="str">
        <f>IMSUM(IMPRODUCT(AZ163,AA163),IMPRODUCT(BA163,AC163))</f>
        <v>0.182039224071636</v>
      </c>
      <c r="BF163" s="4" t="str">
        <f>IMSUM(IMPRODUCT(BB163,AD163),IMPRODUCT(BC163,AF163))</f>
        <v>0.483426007280161</v>
      </c>
      <c r="BG163" s="5" t="str">
        <f>IMSUM(IMPRODUCT(BB163,AE163),IMPRODUCT(BC163,AG163))</f>
        <v>82.7614304762007i</v>
      </c>
      <c r="BH163" s="5" t="str">
        <f>IMSUM(IMPRODUCT(BD163,AD163),IMPRODUCT(BE163,AF163))</f>
        <v>1.97934417807876E-003i</v>
      </c>
      <c r="BI163" s="5" t="str">
        <f>IMSUM(IMPRODUCT(BD163,AE163),IMPRODUCT(BE163,AG163))</f>
        <v>1.72970968012664</v>
      </c>
      <c r="BJ163" s="4" t="str">
        <f>IMSUM(IMPRODUCT(BF163,AH163),IMPRODUCT(BG163,AJ163))</f>
        <v>-0.32494672805827</v>
      </c>
      <c r="BK163" s="5" t="str">
        <f>IMSUM(IMPRODUCT(BF163,AI163),IMPRODUCT(BG163,AK163))</f>
        <v>171.017099015732i</v>
      </c>
      <c r="BL163" s="5" t="str">
        <f>IMSUM(IMPRODUCT(BH163,AH163),IMPRODUCT(BI163,AJ163))</f>
        <v>3.42034198031459E-003i</v>
      </c>
      <c r="BM163" s="5" t="str">
        <f>IMSUM(IMPRODUCT(BH163,AI163),IMPRODUCT(BI163,AK163))</f>
        <v>-1.27732640782415</v>
      </c>
      <c r="BN163" s="4">
        <f t="shared" si="4"/>
        <v>500</v>
      </c>
      <c r="BO163" s="4">
        <v>1</v>
      </c>
      <c r="BP163" s="4" t="str">
        <f>IMSUM(IMPRODUCT($BJ163,$BN163),IMPRODUCT($BK163,$BO163))</f>
        <v>-162.473364029135+171.017099015732i</v>
      </c>
      <c r="BQ163" s="4" t="str">
        <f>IMSUM(IMPRODUCT($BL163,$BN163),IMPRODUCT($BM163,$BO163))</f>
        <v>-1.27732640782415+1.7101709901573i</v>
      </c>
      <c r="BR163" s="4" t="str">
        <f>IMDIV($BP163,$BQ163)</f>
        <v>109.739427581707+13.0398043984264i</v>
      </c>
      <c r="BS163" s="4" t="str">
        <f>IMDIV(IMSUB($BQ$100,$BR163),IMSUM($BQ$100,$BR163))</f>
        <v>-5.01074545812854E-002-5.90561971804662E-002i</v>
      </c>
      <c r="BT163" s="4">
        <f>IMABS($BS163)</f>
        <v>0.07744928295364446</v>
      </c>
      <c r="BU163" s="4">
        <f t="shared" si="5"/>
        <v>1.1679024936463256</v>
      </c>
      <c r="BV163" s="4">
        <f t="shared" si="6"/>
        <v>-0.026129127933357074</v>
      </c>
    </row>
    <row r="164" spans="1:74" ht="12.75">
      <c r="A164" s="5">
        <v>61</v>
      </c>
      <c r="B164" s="5">
        <f t="shared" si="1"/>
        <v>12</v>
      </c>
      <c r="C164" s="4">
        <f t="shared" si="7"/>
        <v>1.8849555921538759</v>
      </c>
      <c r="D164" s="4">
        <f t="shared" si="2"/>
        <v>0.9510565162951536</v>
      </c>
      <c r="E164" s="5">
        <f t="shared" si="3"/>
        <v>-0.3090169943749474</v>
      </c>
      <c r="F164" s="9" t="str">
        <f>IF($B$7&gt;0,COMPLEX($E164,0),1)</f>
        <v>-0.309016994374947</v>
      </c>
      <c r="G164" s="9" t="str">
        <f>IF($B$7&gt;0,COMPLEX(0,$D164*$B$16),0)</f>
        <v>113.72859118802i</v>
      </c>
      <c r="H164" s="9" t="str">
        <f>IF($B$7&gt;0,COMPLEX(0,$D164/$B$16),0)</f>
        <v>7.95321992243893E-003i</v>
      </c>
      <c r="I164" s="9" t="str">
        <f>IF($B$7&gt;0,COMPLEX($E164,0),1)</f>
        <v>-0.309016994374947</v>
      </c>
      <c r="J164" s="9" t="str">
        <f>IF($B$7&gt;1,COMPLEX($E164,0),1)</f>
        <v>-0.309016994374947</v>
      </c>
      <c r="K164" s="9" t="str">
        <f>IF($B$7&gt;1,COMPLEX(0,$D164*$B$17),0)</f>
        <v>135.998147660005i</v>
      </c>
      <c r="L164" s="9" t="str">
        <f>IF($B$7&gt;1,COMPLEX(0,$D164/$B$17),0)</f>
        <v>6.6508883595146E-003i</v>
      </c>
      <c r="M164" s="9" t="str">
        <f>IF($B$7&gt;1,COMPLEX($E164,0),1)</f>
        <v>-0.309016994374947</v>
      </c>
      <c r="N164" s="9" t="str">
        <f>IF($B$7&gt;2,COMPLEX($E164,0),1)</f>
        <v>-0.309016994374947</v>
      </c>
      <c r="O164" s="9" t="str">
        <f>IF($B$7&gt;2,COMPLEX(0,$D164*$B$18),0)</f>
        <v>162.628376679485i</v>
      </c>
      <c r="P164" s="9" t="str">
        <f>IF($B$7&gt;2,COMPLEX(0,$D164/$B$18),0)</f>
        <v>5.56181224737993E-003i</v>
      </c>
      <c r="Q164" s="9" t="str">
        <f>IF($B$7&gt;2,COMPLEX($E164,0),1)</f>
        <v>-0.309016994374947</v>
      </c>
      <c r="R164" s="9" t="str">
        <f>IF($B$7&gt;3,COMPLEX($E164,0),1)</f>
        <v>-0.309016994374947</v>
      </c>
      <c r="S164" s="9" t="str">
        <f>IF($B$7&gt;3,COMPLEX(0,$D164*$B$19),0)</f>
        <v>194.473155380942i</v>
      </c>
      <c r="T164" s="9" t="str">
        <f>IF($B$7&gt;3,COMPLEX(0,$D164/$B$19),0)</f>
        <v>4.65107122582388E-003i</v>
      </c>
      <c r="U164" s="9" t="str">
        <f>IF($B$7&gt;3,COMPLEX($E164,0),1)</f>
        <v>-0.309016994374947</v>
      </c>
      <c r="V164" s="9" t="str">
        <f>IF($B$7&gt;4,COMPLEX($E164,0),1)</f>
        <v>-0.309016994374947</v>
      </c>
      <c r="W164" s="9" t="str">
        <f>IF($B$7&gt;4,COMPLEX(0,$D164*$B$20),0)</f>
        <v>232.553561291194i</v>
      </c>
      <c r="X164" s="9" t="str">
        <f>IF($B$7&gt;4,COMPLEX(0,$D164/$B$20),0)</f>
        <v>3.88946310761883E-003i</v>
      </c>
      <c r="Y164" s="9" t="str">
        <f>IF($B$7&gt;4,COMPLEX($E164,0),1)</f>
        <v>-0.309016994374947</v>
      </c>
      <c r="Z164" s="9" t="str">
        <f>IF($B$7&gt;5,COMPLEX($E164,0),1)</f>
        <v>-0.309016994374947</v>
      </c>
      <c r="AA164" s="9" t="str">
        <f>IF($B$7&gt;5,COMPLEX(0,$D164*$B$21),0)</f>
        <v>278.090612368996i</v>
      </c>
      <c r="AB164" s="9" t="str">
        <f>IF($B$7&gt;5,COMPLEX(0,$D164/$B$21),0)</f>
        <v>3.25256753358969E-003i</v>
      </c>
      <c r="AC164" s="9" t="str">
        <f>IF($B$7&gt;5,COMPLEX($E164,0),1)</f>
        <v>-0.309016994374947</v>
      </c>
      <c r="AD164" s="9" t="str">
        <f>IF($B$7&gt;6,COMPLEX($E164,0),1)</f>
        <v>-0.309016994374947</v>
      </c>
      <c r="AE164" s="9" t="str">
        <f>IF($B$7&gt;6,COMPLEX(0,$D164*$B$22),0)</f>
        <v>332.54441797573i</v>
      </c>
      <c r="AF164" s="9" t="str">
        <f>IF($B$7&gt;6,COMPLEX(0,$D164/$B$22),0)</f>
        <v>2.7199629532001E-003i</v>
      </c>
      <c r="AG164" s="9" t="str">
        <f>IF($B$7&gt;6,COMPLEX($E164,0),1)</f>
        <v>-0.309016994374947</v>
      </c>
      <c r="AH164" s="9" t="str">
        <f>IF($B$7&gt;7,COMPLEX($E164,0),1)</f>
        <v>-0.309016994374947</v>
      </c>
      <c r="AI164" s="9" t="str">
        <f>IF($B$7&gt;7,COMPLEX(0,$D164*$B$23),0)</f>
        <v>397.660996121946i</v>
      </c>
      <c r="AJ164" s="9" t="str">
        <f>IF($B$7&gt;7,COMPLEX(0,$D164/$B$23),0)</f>
        <v>2.2745718237604E-003i</v>
      </c>
      <c r="AK164" s="9" t="str">
        <f>IF($B$7&gt;7,COMPLEX($E164,0),1)</f>
        <v>-0.309016994374947</v>
      </c>
      <c r="AL164" s="4" t="str">
        <f>IMSUM(IMPRODUCT(F164,J164),IMPRODUCT(G164,L164))</f>
        <v>-0.660904660463871</v>
      </c>
      <c r="AM164" s="5" t="str">
        <f>IMSUM(IMPRODUCT(F164,K164),IMPRODUCT(G164,M164))</f>
        <v>-77.169806253874i</v>
      </c>
      <c r="AN164" s="5" t="str">
        <f>IMSUM(IMPRODUCT(H164,J164),IMPRODUCT(I164,L164))</f>
        <v>-4.51291764681555E-003i</v>
      </c>
      <c r="AO164" s="5" t="str">
        <f>IMSUM(IMPRODUCT(H164,K164),IMPRODUCT(I164,M164))</f>
        <v>-0.986131674571814</v>
      </c>
      <c r="AP164" s="4" t="str">
        <f>IMSUM(IMPRODUCT(AL164,N164),IMPRODUCT(AM164,P164))</f>
        <v>0.633434745295673</v>
      </c>
      <c r="AQ164" s="5" t="str">
        <f>IMSUM(IMPRODUCT(AL164,O164),IMPRODUCT(AM164,Q164))</f>
        <v>-83.6350704860769i</v>
      </c>
      <c r="AR164" s="5" t="str">
        <f>IMSUM(IMPRODUCT(AN164,N164),IMPRODUCT(AO164,P164))</f>
        <v>-4.09011097808219E-003i</v>
      </c>
      <c r="AS164" s="5" t="str">
        <f>IMSUM(IMPRODUCT(AN164,O164),IMPRODUCT(AO164,Q164))</f>
        <v>1.03865991712393</v>
      </c>
      <c r="AT164" s="4" t="str">
        <f>IMSUM(IMPRODUCT(AP164,R164),IMPRODUCT(AQ164,T164))</f>
        <v>0.193250568683615</v>
      </c>
      <c r="AU164" s="5" t="str">
        <f>IMSUM(IMPRODUCT(AP164,S164),IMPRODUCT(AQ164,U164))</f>
        <v>149.030711751517i</v>
      </c>
      <c r="AV164" s="5" t="str">
        <f>IMSUM(IMPRODUCT(AR164,R164),IMPRODUCT(AS164,T164))</f>
        <v>6.09479505505866E-003i</v>
      </c>
      <c r="AW164" s="5" t="str">
        <f>IMSUM(IMPRODUCT(AR164,S164),IMPRODUCT(AS164,U164))</f>
        <v>0.474453221998506</v>
      </c>
      <c r="AX164" s="4" t="str">
        <f>IMSUM(IMPRODUCT(AT164,V164),IMPRODUCT(AU164,X164))</f>
        <v>-0.639367165155561</v>
      </c>
      <c r="AY164" s="5" t="str">
        <f>IMSUM(IMPRODUCT(AT164,W164),IMPRODUCT(AU164,Y164))</f>
        <v>-1.1119146460897i</v>
      </c>
      <c r="AZ164" s="5" t="str">
        <f>IMSUM(IMPRODUCT(AV164,V164),IMPRODUCT(AW164,X164))</f>
        <v>-3.80269459914399E-005i</v>
      </c>
      <c r="BA164" s="5" t="str">
        <f>IMSUM(IMPRODUCT(AV164,W164),IMPRODUCT(AW164,Y164))</f>
        <v>-1.56398040402734</v>
      </c>
      <c r="BB164" s="4" t="str">
        <f>IMSUM(IMPRODUCT(AX164,Z164),IMPRODUCT(AY164,AB164))</f>
        <v>0.201191897156396</v>
      </c>
      <c r="BC164" s="5" t="str">
        <f>IMSUM(IMPRODUCT(AX164,AA164),IMPRODUCT(AY164,AC164))</f>
        <v>-177.458405964803i</v>
      </c>
      <c r="BD164" s="5" t="str">
        <f>IMSUM(IMPRODUCT(AZ164,Z164),IMPRODUCT(BA164,AB164))</f>
        <v>-5.07520091275428E-003i</v>
      </c>
      <c r="BE164" s="5" t="str">
        <f>IMSUM(IMPRODUCT(AZ164,AA164),IMPRODUCT(BA164,AC164))</f>
        <v>0.493871460411126</v>
      </c>
      <c r="BF164" s="4" t="str">
        <f>IMSUM(IMPRODUCT(BB164,AD164),IMPRODUCT(BC164,AF164))</f>
        <v>0.420508574606345</v>
      </c>
      <c r="BG164" s="5" t="str">
        <f>IMSUM(IMPRODUCT(BB164,AE164),IMPRODUCT(BC164,AG164))</f>
        <v>121.742905579119i</v>
      </c>
      <c r="BH164" s="5" t="str">
        <f>IMSUM(IMPRODUCT(BD164,AD164),IMPRODUCT(BE164,AF164))</f>
        <v>2.91163540786941E-003i</v>
      </c>
      <c r="BI164" s="5" t="str">
        <f>IMSUM(IMPRODUCT(BD164,AE164),IMPRODUCT(BE164,AG164))</f>
        <v>1.53511505933796</v>
      </c>
      <c r="BJ164" s="4" t="str">
        <f>IMSUM(IMPRODUCT(BF164,AH164),IMPRODUCT(BG164,AJ164))</f>
        <v>-0.406857278606733</v>
      </c>
      <c r="BK164" s="5" t="str">
        <f>IMSUM(IMPRODUCT(BF164,AI164),IMPRODUCT(BG164,AK164))</f>
        <v>129.599231887247i</v>
      </c>
      <c r="BL164" s="5" t="str">
        <f>IMSUM(IMPRODUCT(BH164,AH164),IMPRODUCT(BI164,AJ164))</f>
        <v>2.59198463774492E-003i</v>
      </c>
      <c r="BM164" s="5" t="str">
        <f>IMSUM(IMPRODUCT(BH164,AI164),IMPRODUCT(BI164,AK164))</f>
        <v>-1.63222047829362</v>
      </c>
      <c r="BN164" s="4">
        <f t="shared" si="4"/>
        <v>500</v>
      </c>
      <c r="BO164" s="4">
        <v>1</v>
      </c>
      <c r="BP164" s="4" t="str">
        <f>IMSUM(IMPRODUCT($BJ164,$BN164),IMPRODUCT($BK164,$BO164))</f>
        <v>-203.428639303366+129.599231887247i</v>
      </c>
      <c r="BQ164" s="4" t="str">
        <f>IMSUM(IMPRODUCT($BL164,$BN164),IMPRODUCT($BM164,$BO164))</f>
        <v>-1.63222047829362+1.29599231887246i</v>
      </c>
      <c r="BR164" s="4" t="str">
        <f>IMDIV($BP164,$BQ164)</f>
        <v>115.108184487322+11.9959841872255i</v>
      </c>
      <c r="BS164" s="4" t="str">
        <f>IMDIV(IMSUB($BQ$100,$BR164),IMSUM($BQ$100,$BR164))</f>
        <v>-7.31178711717906E-002-5.16896341594126E-002i</v>
      </c>
      <c r="BT164" s="4">
        <f>IMABS($BS164)</f>
        <v>0.08954351659516438</v>
      </c>
      <c r="BU164" s="4">
        <f t="shared" si="5"/>
        <v>1.1967002667942972</v>
      </c>
      <c r="BV164" s="4">
        <f t="shared" si="6"/>
        <v>-0.03496226370197069</v>
      </c>
    </row>
    <row r="165" spans="1:74" ht="12.75">
      <c r="A165" s="5">
        <v>62</v>
      </c>
      <c r="B165" s="5">
        <f t="shared" si="1"/>
        <v>12.200000000000001</v>
      </c>
      <c r="C165" s="4">
        <f t="shared" si="7"/>
        <v>1.916371518689774</v>
      </c>
      <c r="D165" s="4">
        <f t="shared" si="2"/>
        <v>0.9408807689542255</v>
      </c>
      <c r="E165" s="5">
        <f t="shared" si="3"/>
        <v>-0.3387379202452916</v>
      </c>
      <c r="F165" s="9" t="str">
        <f>IF($B$7&gt;0,COMPLEX($E165,0),1)</f>
        <v>-0.338737920245292</v>
      </c>
      <c r="G165" s="9" t="str">
        <f>IF($B$7&gt;0,COMPLEX(0,$D165*$B$16),0)</f>
        <v>112.511761914953i</v>
      </c>
      <c r="H165" s="9" t="str">
        <f>IF($B$7&gt;0,COMPLEX(0,$D165/$B$16),0)</f>
        <v>7.86812513039351E-003i</v>
      </c>
      <c r="I165" s="9" t="str">
        <f>IF($B$7&gt;0,COMPLEX($E165,0),1)</f>
        <v>-0.338737920245292</v>
      </c>
      <c r="J165" s="9" t="str">
        <f>IF($B$7&gt;1,COMPLEX($E165,0),1)</f>
        <v>-0.338737920245292</v>
      </c>
      <c r="K165" s="9" t="str">
        <f>IF($B$7&gt;1,COMPLEX(0,$D165*$B$17),0)</f>
        <v>134.543047184154i</v>
      </c>
      <c r="L165" s="9" t="str">
        <f>IF($B$7&gt;1,COMPLEX(0,$D165/$B$17),0)</f>
        <v>6.57972775193812E-003i</v>
      </c>
      <c r="M165" s="9" t="str">
        <f>IF($B$7&gt;1,COMPLEX($E165,0),1)</f>
        <v>-0.338737920245292</v>
      </c>
      <c r="N165" s="9" t="str">
        <f>IF($B$7&gt;2,COMPLEX($E165,0),1)</f>
        <v>-0.338737920245292</v>
      </c>
      <c r="O165" s="9" t="str">
        <f>IF($B$7&gt;2,COMPLEX(0,$D165*$B$18),0)</f>
        <v>160.88834836024i</v>
      </c>
      <c r="P165" s="9" t="str">
        <f>IF($B$7&gt;2,COMPLEX(0,$D165/$B$18),0)</f>
        <v>5.50230411593103E-003i</v>
      </c>
      <c r="Q165" s="9" t="str">
        <f>IF($B$7&gt;2,COMPLEX($E165,0),1)</f>
        <v>-0.338737920245292</v>
      </c>
      <c r="R165" s="9" t="str">
        <f>IF($B$7&gt;3,COMPLEX($E165,0),1)</f>
        <v>-0.338737920245292</v>
      </c>
      <c r="S165" s="9" t="str">
        <f>IF($B$7&gt;3,COMPLEX(0,$D165*$B$19),0)</f>
        <v>192.392406592785i</v>
      </c>
      <c r="T165" s="9" t="str">
        <f>IF($B$7&gt;3,COMPLEX(0,$D165/$B$19),0)</f>
        <v>4.60130748954981E-003i</v>
      </c>
      <c r="U165" s="9" t="str">
        <f>IF($B$7&gt;3,COMPLEX($E165,0),1)</f>
        <v>-0.338737920245292</v>
      </c>
      <c r="V165" s="9" t="str">
        <f>IF($B$7&gt;4,COMPLEX($E165,0),1)</f>
        <v>-0.338737920245292</v>
      </c>
      <c r="W165" s="9" t="str">
        <f>IF($B$7&gt;4,COMPLEX(0,$D165*$B$20),0)</f>
        <v>230.065374477491i</v>
      </c>
      <c r="X165" s="9" t="str">
        <f>IF($B$7&gt;4,COMPLEX(0,$D165/$B$20),0)</f>
        <v>3.8478481318557E-003i</v>
      </c>
      <c r="Y165" s="9" t="str">
        <f>IF($B$7&gt;4,COMPLEX($E165,0),1)</f>
        <v>-0.338737920245292</v>
      </c>
      <c r="Z165" s="9" t="str">
        <f>IF($B$7&gt;5,COMPLEX($E165,0),1)</f>
        <v>-0.338737920245292</v>
      </c>
      <c r="AA165" s="9" t="str">
        <f>IF($B$7&gt;5,COMPLEX(0,$D165*$B$21),0)</f>
        <v>275.115205796552i</v>
      </c>
      <c r="AB165" s="9" t="str">
        <f>IF($B$7&gt;5,COMPLEX(0,$D165/$B$21),0)</f>
        <v>3.2177669672048E-003i</v>
      </c>
      <c r="AC165" s="9" t="str">
        <f>IF($B$7&gt;5,COMPLEX($E165,0),1)</f>
        <v>-0.338737920245292</v>
      </c>
      <c r="AD165" s="9" t="str">
        <f>IF($B$7&gt;6,COMPLEX($E165,0),1)</f>
        <v>-0.338737920245292</v>
      </c>
      <c r="AE165" s="9" t="str">
        <f>IF($B$7&gt;6,COMPLEX(0,$D165*$B$22),0)</f>
        <v>328.986387596906i</v>
      </c>
      <c r="AF165" s="9" t="str">
        <f>IF($B$7&gt;6,COMPLEX(0,$D165/$B$22),0)</f>
        <v>2.69086094368307E-003i</v>
      </c>
      <c r="AG165" s="9" t="str">
        <f>IF($B$7&gt;6,COMPLEX($E165,0),1)</f>
        <v>-0.338737920245292</v>
      </c>
      <c r="AH165" s="9" t="str">
        <f>IF($B$7&gt;7,COMPLEX($E165,0),1)</f>
        <v>-0.338737920245292</v>
      </c>
      <c r="AI165" s="9" t="str">
        <f>IF($B$7&gt;7,COMPLEX(0,$D165*$B$23),0)</f>
        <v>393.406256519676i</v>
      </c>
      <c r="AJ165" s="9" t="str">
        <f>IF($B$7&gt;7,COMPLEX(0,$D165/$B$23),0)</f>
        <v>2.25023523829906E-003i</v>
      </c>
      <c r="AK165" s="9" t="str">
        <f>IF($B$7&gt;7,COMPLEX($E165,0),1)</f>
        <v>-0.338737920245292</v>
      </c>
      <c r="AL165" s="4" t="str">
        <f>IMSUM(IMPRODUCT(F165,J165),IMPRODUCT(G165,L165))</f>
        <v>-0.625553383679165</v>
      </c>
      <c r="AM165" s="5" t="str">
        <f>IMSUM(IMPRODUCT(F165,K165),IMPRODUCT(G165,M165))</f>
        <v>-83.6868322208291i</v>
      </c>
      <c r="AN165" s="5" t="str">
        <f>IMSUM(IMPRODUCT(H165,J165),IMPRODUCT(I165,L165))</f>
        <v>-4.89403563737096E-003i</v>
      </c>
      <c r="AO165" s="5" t="str">
        <f>IMSUM(IMPRODUCT(H165,K165),IMPRODUCT(I165,M165))</f>
        <v>-0.943858152057254</v>
      </c>
      <c r="AP165" s="4" t="str">
        <f>IMSUM(IMPRODUCT(AL165,N165),IMPRODUCT(AM165,P165))</f>
        <v>0.672369053567784</v>
      </c>
      <c r="AQ165" s="5" t="str">
        <f>IMSUM(IMPRODUCT(AL165,O165),IMPRODUCT(AM165,Q165))</f>
        <v>-72.2963472128997i</v>
      </c>
      <c r="AR165" s="5" t="str">
        <f>IMSUM(IMPRODUCT(AN165,N165),IMPRODUCT(AO165,P165))</f>
        <v>-3.5355991415103E-003i</v>
      </c>
      <c r="AS165" s="5" t="str">
        <f>IMSUM(IMPRODUCT(AN165,O165),IMPRODUCT(AO165,Q165))</f>
        <v>1.10711385794721</v>
      </c>
      <c r="AT165" s="4" t="str">
        <f>IMSUM(IMPRODUCT(AP165,R165),IMPRODUCT(AQ165,T165))</f>
        <v>0.104900829054963</v>
      </c>
      <c r="AU165" s="5" t="str">
        <f>IMSUM(IMPRODUCT(AP165,S165),IMPRODUCT(AQ165,U165))</f>
        <v>153.848214630648i</v>
      </c>
      <c r="AV165" s="5" t="str">
        <f>IMSUM(IMPRODUCT(AR165,R165),IMPRODUCT(AS165,T165))</f>
        <v>6.29181278637312E-003i</v>
      </c>
      <c r="AW165" s="5" t="str">
        <f>IMSUM(IMPRODUCT(AR165,S165),IMPRODUCT(AS165,U165))</f>
        <v>0.305200981866771</v>
      </c>
      <c r="AX165" s="4" t="str">
        <f>IMSUM(IMPRODUCT(AT165,V165),IMPRODUCT(AU165,X165))</f>
        <v>-0.627518453921959</v>
      </c>
      <c r="AY165" s="5" t="str">
        <f>IMSUM(IMPRODUCT(AT165,W165),IMPRODUCT(AU165,Y165))</f>
        <v>-27.9801757379077i</v>
      </c>
      <c r="AZ165" s="5" t="str">
        <f>IMSUM(IMPRODUCT(AV165,V165),IMPRODUCT(AW165,X165))</f>
        <v>-9.5690854991219E-004i</v>
      </c>
      <c r="BA165" s="5" t="str">
        <f>IMSUM(IMPRODUCT(AV165,W165),IMPRODUCT(AW165,Y165))</f>
        <v>-1.55091141069357</v>
      </c>
      <c r="BB165" s="4" t="str">
        <f>IMSUM(IMPRODUCT(AX165,Z165),IMPRODUCT(AY165,AB165))</f>
        <v>0.302597981223091</v>
      </c>
      <c r="BC165" s="5" t="str">
        <f>IMSUM(IMPRODUCT(AX165,AA165),IMPRODUCT(AY165,AC165))</f>
        <v>-163.161922054317i</v>
      </c>
      <c r="BD165" s="5" t="str">
        <f>IMSUM(IMPRODUCT(AZ165,Z165),IMPRODUCT(BA165,AB165))</f>
        <v>-4.66633029432858E-003i</v>
      </c>
      <c r="BE165" s="5" t="str">
        <f>IMSUM(IMPRODUCT(AZ165,AA165),IMPRODUCT(BA165,AC165))</f>
        <v>0.788612598380604</v>
      </c>
      <c r="BF165" s="4" t="str">
        <f>IMSUM(IMPRODUCT(BB165,AD165),IMPRODUCT(BC165,AF165))</f>
        <v>0.336544632722289</v>
      </c>
      <c r="BG165" s="5" t="str">
        <f>IMSUM(IMPRODUCT(BB165,AE165),IMPRODUCT(BC165,AG165))</f>
        <v>154.819746876605i</v>
      </c>
      <c r="BH165" s="5" t="str">
        <f>IMSUM(IMPRODUCT(BD165,AD165),IMPRODUCT(BE165,AF165))</f>
        <v>3.70270985975725E-003i</v>
      </c>
      <c r="BI165" s="5" t="str">
        <f>IMSUM(IMPRODUCT(BD165,AE165),IMPRODUCT(BE165,AG165))</f>
        <v>1.26802615541049</v>
      </c>
      <c r="BJ165" s="4" t="str">
        <f>IMSUM(IMPRODUCT(BF165,AH165),IMPRODUCT(BG165,AJ165))</f>
        <v>-0.462381278964341</v>
      </c>
      <c r="BK165" s="5" t="str">
        <f>IMSUM(IMPRODUCT(BF165,AI165),IMPRODUCT(BG165,AK165))</f>
        <v>79.9554450411813i</v>
      </c>
      <c r="BL165" s="5" t="str">
        <f>IMSUM(IMPRODUCT(BH165,AH165),IMPRODUCT(BI165,AJ165))</f>
        <v>1.59910890082365E-003i</v>
      </c>
      <c r="BM165" s="5" t="str">
        <f>IMSUM(IMPRODUCT(BH165,AI165),IMPRODUCT(BI165,AK165))</f>
        <v>-1.88619776760597</v>
      </c>
      <c r="BN165" s="4">
        <f t="shared" si="4"/>
        <v>500</v>
      </c>
      <c r="BO165" s="4">
        <v>1</v>
      </c>
      <c r="BP165" s="4" t="str">
        <f>IMSUM(IMPRODUCT($BJ165,$BN165),IMPRODUCT($BK165,$BO165))</f>
        <v>-231.190639482171+79.9554450411813i</v>
      </c>
      <c r="BQ165" s="4" t="str">
        <f>IMSUM(IMPRODUCT($BL165,$BN165),IMPRODUCT($BM165,$BO165))</f>
        <v>-1.88619776760597+0.799554450411825i</v>
      </c>
      <c r="BR165" s="4" t="str">
        <f>IMDIV($BP165,$BQ165)</f>
        <v>119.131881092494+8.10995587788773i</v>
      </c>
      <c r="BS165" s="4" t="str">
        <f>IMDIV(IMSUB($BQ$100,$BR165),IMSUM($BQ$100,$BR165))</f>
        <v>-8.85560172295837E-002-3.37320633062714E-002i</v>
      </c>
      <c r="BT165" s="4">
        <f>IMABS($BS165)</f>
        <v>0.09476296894074514</v>
      </c>
      <c r="BU165" s="4">
        <f t="shared" si="5"/>
        <v>1.2093660901827208</v>
      </c>
      <c r="BV165" s="4">
        <f t="shared" si="6"/>
        <v>-0.03917589718956006</v>
      </c>
    </row>
    <row r="166" spans="1:74" ht="12.75">
      <c r="A166" s="5">
        <v>63</v>
      </c>
      <c r="B166" s="5">
        <f t="shared" si="1"/>
        <v>12.4</v>
      </c>
      <c r="C166" s="4">
        <f t="shared" si="7"/>
        <v>1.9477874452256718</v>
      </c>
      <c r="D166" s="4">
        <f t="shared" si="2"/>
        <v>0.9297764858882515</v>
      </c>
      <c r="E166" s="5">
        <f t="shared" si="3"/>
        <v>-0.368124552684678</v>
      </c>
      <c r="F166" s="9" t="str">
        <f>IF($B$7&gt;0,COMPLEX($E166,0),1)</f>
        <v>-0.368124552684678</v>
      </c>
      <c r="G166" s="9" t="str">
        <f>IF($B$7&gt;0,COMPLEX(0,$D166*$B$16),0)</f>
        <v>111.183897116586i</v>
      </c>
      <c r="H166" s="9" t="str">
        <f>IF($B$7&gt;0,COMPLEX(0,$D166/$B$16),0)</f>
        <v>7.77526544877466E-003i</v>
      </c>
      <c r="I166" s="9" t="str">
        <f>IF($B$7&gt;0,COMPLEX($E166,0),1)</f>
        <v>-0.368124552684678</v>
      </c>
      <c r="J166" s="9" t="str">
        <f>IF($B$7&gt;1,COMPLEX($E166,0),1)</f>
        <v>-0.368124552684678</v>
      </c>
      <c r="K166" s="9" t="str">
        <f>IF($B$7&gt;1,COMPLEX(0,$D166*$B$17),0)</f>
        <v>132.955168964311i</v>
      </c>
      <c r="L166" s="9" t="str">
        <f>IF($B$7&gt;1,COMPLEX(0,$D166/$B$17),0)</f>
        <v>6.50207374745062E-003i</v>
      </c>
      <c r="M166" s="9" t="str">
        <f>IF($B$7&gt;1,COMPLEX($E166,0),1)</f>
        <v>-0.368124552684678</v>
      </c>
      <c r="N166" s="9" t="str">
        <f>IF($B$7&gt;2,COMPLEX($E166,0),1)</f>
        <v>-0.368124552684678</v>
      </c>
      <c r="O166" s="9" t="str">
        <f>IF($B$7&gt;2,COMPLEX(0,$D166*$B$18),0)</f>
        <v>158.98954266545i</v>
      </c>
      <c r="P166" s="9" t="str">
        <f>IF($B$7&gt;2,COMPLEX(0,$D166/$B$18),0)</f>
        <v>5.43736587462094E-003i</v>
      </c>
      <c r="Q166" s="9" t="str">
        <f>IF($B$7&gt;2,COMPLEX($E166,0),1)</f>
        <v>-0.368124552684678</v>
      </c>
      <c r="R166" s="9" t="str">
        <f>IF($B$7&gt;3,COMPLEX($E166,0),1)</f>
        <v>-0.368124552684678</v>
      </c>
      <c r="S166" s="9" t="str">
        <f>IF($B$7&gt;3,COMPLEX(0,$D166*$B$19),0)</f>
        <v>190.121789727138i</v>
      </c>
      <c r="T166" s="9" t="str">
        <f>IF($B$7&gt;3,COMPLEX(0,$D166/$B$19),0)</f>
        <v>4.54700281830614E-003i</v>
      </c>
      <c r="U166" s="9" t="str">
        <f>IF($B$7&gt;3,COMPLEX($E166,0),1)</f>
        <v>-0.368124552684678</v>
      </c>
      <c r="V166" s="9" t="str">
        <f>IF($B$7&gt;4,COMPLEX($E166,0),1)</f>
        <v>-0.368124552684678</v>
      </c>
      <c r="W166" s="9" t="str">
        <f>IF($B$7&gt;4,COMPLEX(0,$D166*$B$20),0)</f>
        <v>227.350140915307i</v>
      </c>
      <c r="X166" s="9" t="str">
        <f>IF($B$7&gt;4,COMPLEX(0,$D166/$B$20),0)</f>
        <v>3.80243579454277E-003i</v>
      </c>
      <c r="Y166" s="9" t="str">
        <f>IF($B$7&gt;4,COMPLEX($E166,0),1)</f>
        <v>-0.368124552684678</v>
      </c>
      <c r="Z166" s="9" t="str">
        <f>IF($B$7&gt;5,COMPLEX($E166,0),1)</f>
        <v>-0.368124552684678</v>
      </c>
      <c r="AA166" s="9" t="str">
        <f>IF($B$7&gt;5,COMPLEX(0,$D166*$B$21),0)</f>
        <v>271.868293731047i</v>
      </c>
      <c r="AB166" s="9" t="str">
        <f>IF($B$7&gt;5,COMPLEX(0,$D166/$B$21),0)</f>
        <v>3.17979085330899E-003i</v>
      </c>
      <c r="AC166" s="9" t="str">
        <f>IF($B$7&gt;5,COMPLEX($E166,0),1)</f>
        <v>-0.368124552684678</v>
      </c>
      <c r="AD166" s="9" t="str">
        <f>IF($B$7&gt;6,COMPLEX($E166,0),1)</f>
        <v>-0.368124552684678</v>
      </c>
      <c r="AE166" s="9" t="str">
        <f>IF($B$7&gt;6,COMPLEX(0,$D166*$B$22),0)</f>
        <v>325.103687372531i</v>
      </c>
      <c r="AF166" s="9" t="str">
        <f>IF($B$7&gt;6,COMPLEX(0,$D166/$B$22),0)</f>
        <v>2.65910337928621E-003i</v>
      </c>
      <c r="AG166" s="9" t="str">
        <f>IF($B$7&gt;6,COMPLEX($E166,0),1)</f>
        <v>-0.368124552684678</v>
      </c>
      <c r="AH166" s="9" t="str">
        <f>IF($B$7&gt;7,COMPLEX($E166,0),1)</f>
        <v>-0.368124552684678</v>
      </c>
      <c r="AI166" s="9" t="str">
        <f>IF($B$7&gt;7,COMPLEX(0,$D166*$B$23),0)</f>
        <v>388.763272438733i</v>
      </c>
      <c r="AJ166" s="9" t="str">
        <f>IF($B$7&gt;7,COMPLEX(0,$D166/$B$23),0)</f>
        <v>2.22367794233172E-003i</v>
      </c>
      <c r="AK166" s="9" t="str">
        <f>IF($B$7&gt;7,COMPLEX($E166,0),1)</f>
        <v>-0.368124552684678</v>
      </c>
      <c r="AL166" s="4" t="str">
        <f>IMSUM(IMPRODUCT(F166,J166),IMPRODUCT(G166,L166))</f>
        <v>-0.587410212291711</v>
      </c>
      <c r="AM166" s="5" t="str">
        <f>IMSUM(IMPRODUCT(F166,K166),IMPRODUCT(G166,M166))</f>
        <v>-89.8735844938853i</v>
      </c>
      <c r="AN166" s="5" t="str">
        <f>IMSUM(IMPRODUCT(H166,J166),IMPRODUCT(I166,L166))</f>
        <v>-5.25583910513785E-003i</v>
      </c>
      <c r="AO166" s="5" t="str">
        <f>IMSUM(IMPRODUCT(H166,K166),IMPRODUCT(I166,M166))</f>
        <v>-0.898246045194906</v>
      </c>
      <c r="AP166" s="4" t="str">
        <f>IMSUM(IMPRODUCT(AL166,N166),IMPRODUCT(AM166,P166))</f>
        <v>0.704915682999212</v>
      </c>
      <c r="AQ166" s="5" t="str">
        <f>IMSUM(IMPRODUCT(AL166,O166),IMPRODUCT(AM166,Q166))</f>
        <v>-60.3074079192939i</v>
      </c>
      <c r="AR166" s="5" t="str">
        <f>IMSUM(IMPRODUCT(AN166,N166),IMPRODUCT(AO166,P166))</f>
        <v>-2.94928897359449E-003i</v>
      </c>
      <c r="AS166" s="5" t="str">
        <f>IMSUM(IMPRODUCT(AN166,O166),IMPRODUCT(AO166,Q166))</f>
        <v>1.16628987923721</v>
      </c>
      <c r="AT166" s="4" t="str">
        <f>IMSUM(IMPRODUCT(AP166,R166),IMPRODUCT(AQ166,T166))</f>
        <v>1.4721183289268E-002</v>
      </c>
      <c r="AU166" s="5" t="str">
        <f>IMSUM(IMPRODUCT(AP166,S166),IMPRODUCT(AQ166,U166))</f>
        <v>156.220468822401i</v>
      </c>
      <c r="AV166" s="5" t="str">
        <f>IMSUM(IMPRODUCT(AR166,R166),IMPRODUCT(AS166,T166))</f>
        <v>6.38882905199584E-003i</v>
      </c>
      <c r="AW166" s="5" t="str">
        <f>IMSUM(IMPRODUCT(AR166,S166),IMPRODUCT(AS166,U166))</f>
        <v>0.131384157987433</v>
      </c>
      <c r="AX166" s="4" t="str">
        <f>IMSUM(IMPRODUCT(AT166,V166),IMPRODUCT(AU166,X166))</f>
        <v>-0.599437531503901</v>
      </c>
      <c r="AY166" s="5" t="str">
        <f>IMSUM(IMPRODUCT(AT166,W166),IMPRODUCT(AU166,Y166))</f>
        <v>-54.1617271101819i</v>
      </c>
      <c r="AZ166" s="5" t="str">
        <f>IMSUM(IMPRODUCT(AV166,V166),IMPRODUCT(AW166,X166))</f>
        <v>-1.85230501177756E-003i</v>
      </c>
      <c r="BA166" s="5" t="str">
        <f>IMSUM(IMPRODUCT(AV166,W166),IMPRODUCT(AW166,Y166))</f>
        <v>-1.50086691964404</v>
      </c>
      <c r="BB166" s="4" t="str">
        <f>IMSUM(IMPRODUCT(AX166,Z166),IMPRODUCT(AY166,AB166))</f>
        <v>0.392890637611655</v>
      </c>
      <c r="BC166" s="5" t="str">
        <f>IMSUM(IMPRODUCT(AX166,AA166),IMPRODUCT(AY166,AC166))</f>
        <v>-143.029797323251i</v>
      </c>
      <c r="BD166" s="5" t="str">
        <f>IMSUM(IMPRODUCT(AZ166,Z166),IMPRODUCT(BA166,AB166))</f>
        <v>-4.09056394922196E-003i</v>
      </c>
      <c r="BE166" s="5" t="str">
        <f>IMSUM(IMPRODUCT(AZ166,AA166),IMPRODUCT(BA166,AC166))</f>
        <v>1.05608896645463</v>
      </c>
      <c r="BF166" s="4" t="str">
        <f>IMSUM(IMPRODUCT(BB166,AD166),IMPRODUCT(BC166,AF166))</f>
        <v>0.23569832717609</v>
      </c>
      <c r="BG166" s="5" t="str">
        <f>IMSUM(IMPRODUCT(BB166,AE166),IMPRODUCT(BC166,AG166))</f>
        <v>180.382975181896i</v>
      </c>
      <c r="BH166" s="5" t="str">
        <f>IMSUM(IMPRODUCT(BD166,AD166),IMPRODUCT(BE166,AF166))</f>
        <v>4.31408676356179E-003i</v>
      </c>
      <c r="BI166" s="5" t="str">
        <f>IMSUM(IMPRODUCT(BD166,AE166),IMPRODUCT(BE166,AG166))</f>
        <v>0.941085144953865</v>
      </c>
      <c r="BJ166" s="4" t="str">
        <f>IMSUM(IMPRODUCT(BF166,AH166),IMPRODUCT(BG166,AJ166))</f>
        <v>-0.487879984344377</v>
      </c>
      <c r="BK166" s="5" t="str">
        <f>IMSUM(IMPRODUCT(BF166,AI166),IMPRODUCT(BG166,AK166))</f>
        <v>25.2274509305451i</v>
      </c>
      <c r="BL166" s="5" t="str">
        <f>IMSUM(IMPRODUCT(BH166,AH166),IMPRODUCT(BI166,AJ166))</f>
        <v>5.0454901861089E-004i</v>
      </c>
      <c r="BM166" s="5" t="str">
        <f>IMSUM(IMPRODUCT(BH166,AI166),IMPRODUCT(BI166,AK166))</f>
        <v>-2.02359503581124</v>
      </c>
      <c r="BN166" s="4">
        <f t="shared" si="4"/>
        <v>500</v>
      </c>
      <c r="BO166" s="4">
        <v>1</v>
      </c>
      <c r="BP166" s="4" t="str">
        <f>IMSUM(IMPRODUCT($BJ166,$BN166),IMPRODUCT($BK166,$BO166))</f>
        <v>-243.939992172189+25.2274509305451i</v>
      </c>
      <c r="BQ166" s="4" t="str">
        <f>IMSUM(IMPRODUCT($BL166,$BN166),IMPRODUCT($BM166,$BO166))</f>
        <v>-2.02359503581124+0.252274509305445i</v>
      </c>
      <c r="BR166" s="4" t="str">
        <f>IMDIV($BP166,$BQ166)</f>
        <v>120.233369208585+2.5224233101782i</v>
      </c>
      <c r="BS166" s="4" t="str">
        <f>IMDIV(IMSUB($BQ$100,$BR166),IMSUM($BQ$100,$BR166))</f>
        <v>-9.1991517748756E-002-1.0399794407635E-002i</v>
      </c>
      <c r="BT166" s="4">
        <f>IMABS($BS166)</f>
        <v>0.09257750839939885</v>
      </c>
      <c r="BU166" s="4">
        <f t="shared" si="5"/>
        <v>1.204044993939045</v>
      </c>
      <c r="BV166" s="4">
        <f t="shared" si="6"/>
        <v>-0.03738204441181012</v>
      </c>
    </row>
    <row r="167" spans="1:74" ht="12.75">
      <c r="A167" s="5">
        <v>64</v>
      </c>
      <c r="B167" s="5">
        <f t="shared" si="1"/>
        <v>12.600000000000001</v>
      </c>
      <c r="C167" s="4">
        <f t="shared" si="7"/>
        <v>1.97920337176157</v>
      </c>
      <c r="D167" s="4">
        <f t="shared" si="2"/>
        <v>0.917754625683981</v>
      </c>
      <c r="E167" s="5">
        <f t="shared" si="3"/>
        <v>-0.39714789063478084</v>
      </c>
      <c r="F167" s="9" t="str">
        <f>IF($B$7&gt;0,COMPLEX($E167,0),1)</f>
        <v>-0.397147890634781</v>
      </c>
      <c r="G167" s="9" t="str">
        <f>IF($B$7&gt;0,COMPLEX(0,$D167*$B$16),0)</f>
        <v>109.746307235159i</v>
      </c>
      <c r="H167" s="9" t="str">
        <f>IF($B$7&gt;0,COMPLEX(0,$D167/$B$16),0)</f>
        <v>7.67473251887703E-003i</v>
      </c>
      <c r="I167" s="9" t="str">
        <f>IF($B$7&gt;0,COMPLEX($E167,0),1)</f>
        <v>-0.397147890634781</v>
      </c>
      <c r="J167" s="9" t="str">
        <f>IF($B$7&gt;1,COMPLEX($E167,0),1)</f>
        <v>-0.397147890634781</v>
      </c>
      <c r="K167" s="9" t="str">
        <f>IF($B$7&gt;1,COMPLEX(0,$D167*$B$17),0)</f>
        <v>131.236080044572i</v>
      </c>
      <c r="L167" s="9" t="str">
        <f>IF($B$7&gt;1,COMPLEX(0,$D167/$B$17),0)</f>
        <v>6.41800298117927E-003i</v>
      </c>
      <c r="M167" s="9" t="str">
        <f>IF($B$7&gt;1,COMPLEX($E167,0),1)</f>
        <v>-0.397147890634781</v>
      </c>
      <c r="N167" s="9" t="str">
        <f>IF($B$7&gt;2,COMPLEX($E167,0),1)</f>
        <v>-0.397147890634781</v>
      </c>
      <c r="O167" s="9" t="str">
        <f>IF($B$7&gt;2,COMPLEX(0,$D167*$B$18),0)</f>
        <v>156.933833487088i</v>
      </c>
      <c r="P167" s="9" t="str">
        <f>IF($B$7&gt;2,COMPLEX(0,$D167/$B$18),0)</f>
        <v>5.36706160965374E-003i</v>
      </c>
      <c r="Q167" s="9" t="str">
        <f>IF($B$7&gt;2,COMPLEX($E167,0),1)</f>
        <v>-0.397147890634781</v>
      </c>
      <c r="R167" s="9" t="str">
        <f>IF($B$7&gt;3,COMPLEX($E167,0),1)</f>
        <v>-0.397147890634781</v>
      </c>
      <c r="S167" s="9" t="str">
        <f>IF($B$7&gt;3,COMPLEX(0,$D167*$B$19),0)</f>
        <v>187.663545608713i</v>
      </c>
      <c r="T167" s="9" t="str">
        <f>IF($B$7&gt;3,COMPLEX(0,$D167/$B$19),0)</f>
        <v>4.48821080424711E-003i</v>
      </c>
      <c r="U167" s="9" t="str">
        <f>IF($B$7&gt;3,COMPLEX($E167,0),1)</f>
        <v>-0.397147890634781</v>
      </c>
      <c r="V167" s="9" t="str">
        <f>IF($B$7&gt;4,COMPLEX($E167,0),1)</f>
        <v>-0.397147890634781</v>
      </c>
      <c r="W167" s="9" t="str">
        <f>IF($B$7&gt;4,COMPLEX(0,$D167*$B$20),0)</f>
        <v>224.410540212356i</v>
      </c>
      <c r="X167" s="9" t="str">
        <f>IF($B$7&gt;4,COMPLEX(0,$D167/$B$20),0)</f>
        <v>3.75327091217425E-003i</v>
      </c>
      <c r="Y167" s="9" t="str">
        <f>IF($B$7&gt;4,COMPLEX($E167,0),1)</f>
        <v>-0.397147890634781</v>
      </c>
      <c r="Z167" s="9" t="str">
        <f>IF($B$7&gt;5,COMPLEX($E167,0),1)</f>
        <v>-0.397147890634781</v>
      </c>
      <c r="AA167" s="9" t="str">
        <f>IF($B$7&gt;5,COMPLEX(0,$D167*$B$21),0)</f>
        <v>268.353080482687i</v>
      </c>
      <c r="AB167" s="9" t="str">
        <f>IF($B$7&gt;5,COMPLEX(0,$D167/$B$21),0)</f>
        <v>3.13867666974177E-003i</v>
      </c>
      <c r="AC167" s="9" t="str">
        <f>IF($B$7&gt;5,COMPLEX($E167,0),1)</f>
        <v>-0.397147890634781</v>
      </c>
      <c r="AD167" s="9" t="str">
        <f>IF($B$7&gt;6,COMPLEX($E167,0),1)</f>
        <v>-0.397147890634781</v>
      </c>
      <c r="AE167" s="9" t="str">
        <f>IF($B$7&gt;6,COMPLEX(0,$D167*$B$22),0)</f>
        <v>320.900149058964i</v>
      </c>
      <c r="AF167" s="9" t="str">
        <f>IF($B$7&gt;6,COMPLEX(0,$D167/$B$22),0)</f>
        <v>2.62472160089144E-003i</v>
      </c>
      <c r="AG167" s="9" t="str">
        <f>IF($B$7&gt;6,COMPLEX($E167,0),1)</f>
        <v>-0.397147890634781</v>
      </c>
      <c r="AH167" s="9" t="str">
        <f>IF($B$7&gt;7,COMPLEX($E167,0),1)</f>
        <v>-0.397147890634781</v>
      </c>
      <c r="AI167" s="9" t="str">
        <f>IF($B$7&gt;7,COMPLEX(0,$D167*$B$23),0)</f>
        <v>383.736625943852i</v>
      </c>
      <c r="AJ167" s="9" t="str">
        <f>IF($B$7&gt;7,COMPLEX(0,$D167/$B$23),0)</f>
        <v>2.19492614470318E-003i</v>
      </c>
      <c r="AK167" s="9" t="str">
        <f>IF($B$7&gt;7,COMPLEX($E167,0),1)</f>
        <v>-0.397147890634781</v>
      </c>
      <c r="AL167" s="4" t="str">
        <f>IMSUM(IMPRODUCT(F167,J167),IMPRODUCT(G167,L167))</f>
        <v>-0.54662567997301</v>
      </c>
      <c r="AM167" s="5" t="str">
        <f>IMSUM(IMPRODUCT(F167,K167),IMPRODUCT(G167,M167))</f>
        <v>-95.705646788279i</v>
      </c>
      <c r="AN167" s="5" t="str">
        <f>IMSUM(IMPRODUCT(H167,J167),IMPRODUCT(I167,L167))</f>
        <v>-5.59690017712125E-003i</v>
      </c>
      <c r="AO167" s="5" t="str">
        <f>IMSUM(IMPRODUCT(H167,K167),IMPRODUCT(I167,M167))</f>
        <v>-0.849475364132374</v>
      </c>
      <c r="AP167" s="4" t="str">
        <f>IMSUM(IMPRODUCT(AL167,N167),IMPRODUCT(AM167,P167))</f>
        <v>0.730749338472537</v>
      </c>
      <c r="AQ167" s="5" t="str">
        <f>IMSUM(IMPRODUCT(AL167,O167),IMPRODUCT(AM167,Q167))</f>
        <v>-47.7747676968482i</v>
      </c>
      <c r="AR167" s="5" t="str">
        <f>IMSUM(IMPRODUCT(AN167,N167),IMPRODUCT(AO167,P167))</f>
        <v>-2.33638951574436E-003i</v>
      </c>
      <c r="AS167" s="5" t="str">
        <f>IMSUM(IMPRODUCT(AN167,O167),IMPRODUCT(AO167,Q167))</f>
        <v>1.21571034945159</v>
      </c>
      <c r="AT167" s="4" t="str">
        <f>IMSUM(IMPRODUCT(AP167,R167),IMPRODUCT(AQ167,T167))</f>
        <v>-7.579232980974E-002</v>
      </c>
      <c r="AU167" s="5" t="str">
        <f>IMSUM(IMPRODUCT(AP167,S167),IMPRODUCT(AQ167,U167))</f>
        <v>156.108660025348i</v>
      </c>
      <c r="AV167" s="5" t="str">
        <f>IMSUM(IMPRODUCT(AR167,R167),IMPRODUCT(AS167,T167))</f>
        <v>6.38425649312275E-003i</v>
      </c>
      <c r="AW167" s="5" t="str">
        <f>IMSUM(IMPRODUCT(AR167,S167),IMPRODUCT(AS167,U167))</f>
        <v>-4.436166045996E-002</v>
      </c>
      <c r="AX167" s="4" t="str">
        <f>IMSUM(IMPRODUCT(AT167,V167),IMPRODUCT(AU167,X167))</f>
        <v>-0.555817328901404</v>
      </c>
      <c r="AY167" s="5" t="str">
        <f>IMSUM(IMPRODUCT(AT167,W167),IMPRODUCT(AU167,Y167))</f>
        <v>-79.0068227154459i</v>
      </c>
      <c r="AZ167" s="5" t="str">
        <f>IMSUM(IMPRODUCT(AV167,V167),IMPRODUCT(AW167,X167))</f>
        <v>-2.70199532933522E-003i</v>
      </c>
      <c r="BA167" s="5" t="str">
        <f>IMSUM(IMPRODUCT(AV167,W167),IMPRODUCT(AW167,Y167))</f>
        <v>-1.41507630859919</v>
      </c>
      <c r="BB167" s="4" t="str">
        <f>IMSUM(IMPRODUCT(AX167,Z167),IMPRODUCT(AY167,AB167))</f>
        <v>0.468718550958845</v>
      </c>
      <c r="BC167" s="5" t="str">
        <f>IMSUM(IMPRODUCT(AX167,AA167),IMPRODUCT(AY167,AC167))</f>
        <v>-117.777899409156i</v>
      </c>
      <c r="BD167" s="5" t="str">
        <f>IMSUM(IMPRODUCT(AZ167,Z167),IMPRODUCT(BA167,AB167))</f>
        <v>-3.36837525015407E-003i</v>
      </c>
      <c r="BE167" s="5" t="str">
        <f>IMSUM(IMPRODUCT(AZ167,AA167),IMPRODUCT(BA167,AC167))</f>
        <v>1.28708334112436</v>
      </c>
      <c r="BF167" s="4" t="str">
        <f>IMSUM(IMPRODUCT(BB167,AD167),IMPRODUCT(BC167,AF167))</f>
        <v>0.122983612872135</v>
      </c>
      <c r="BG167" s="5" t="str">
        <f>IMSUM(IMPRODUCT(BB167,AE167),IMPRODUCT(BC167,AG167))</f>
        <v>197.187097183137i</v>
      </c>
      <c r="BH167" s="5" t="str">
        <f>IMSUM(IMPRODUCT(BD167,AD167),IMPRODUCT(BE167,AF167))</f>
        <v>4.71597857306172E-003i</v>
      </c>
      <c r="BI167" s="5" t="str">
        <f>IMSUM(IMPRODUCT(BD167,AE167),IMPRODUCT(BE167,AG167))</f>
        <v>0.569749685862264</v>
      </c>
      <c r="BJ167" s="4" t="str">
        <f>IMSUM(IMPRODUCT(BF167,AH167),IMPRODUCT(BG167,AJ167))</f>
        <v>-0.481653797440207</v>
      </c>
      <c r="BK167" s="5" t="str">
        <f>IMSUM(IMPRODUCT(BF167,AI167),IMPRODUCT(BG167,AK167))</f>
        <v>-31.1191230567404i</v>
      </c>
      <c r="BL167" s="5" t="str">
        <f>IMSUM(IMPRODUCT(BH167,AH167),IMPRODUCT(BI167,AJ167))</f>
        <v>-6.2238246113478E-004i</v>
      </c>
      <c r="BM167" s="5" t="str">
        <f>IMSUM(IMPRODUCT(BH167,AI167),IMPRODUCT(BI167,AK167))</f>
        <v>-2.03596859158024</v>
      </c>
      <c r="BN167" s="4">
        <f t="shared" si="4"/>
        <v>500</v>
      </c>
      <c r="BO167" s="4">
        <v>1</v>
      </c>
      <c r="BP167" s="4" t="str">
        <f>IMSUM(IMPRODUCT($BJ167,$BN167),IMPRODUCT($BK167,$BO167))</f>
        <v>-240.826898720103-31.1191230567404i</v>
      </c>
      <c r="BQ167" s="4" t="str">
        <f>IMSUM(IMPRODUCT($BL167,$BN167),IMPRODUCT($BM167,$BO167))</f>
        <v>-2.03596859158024-0.31119123056739i</v>
      </c>
      <c r="BR167" s="4" t="str">
        <f>IMDIV($BP167,$BQ167)</f>
        <v>117.868705019256-2.73117391230017i</v>
      </c>
      <c r="BS167" s="4" t="str">
        <f>IMDIV(IMSUB($BQ$100,$BR167),IMSUM($BQ$100,$BR167))</f>
        <v>-8.21601693098191E-002+1.15059214265283E-002i</v>
      </c>
      <c r="BT167" s="4">
        <f>IMABS($BS167)</f>
        <v>0.08296191685883099</v>
      </c>
      <c r="BU167" s="4">
        <f t="shared" si="5"/>
        <v>1.1809345072663897</v>
      </c>
      <c r="BV167" s="4">
        <f t="shared" si="6"/>
        <v>-0.02999443779099765</v>
      </c>
    </row>
    <row r="168" spans="1:74" ht="12.75">
      <c r="A168" s="5">
        <v>65</v>
      </c>
      <c r="B168" s="5">
        <f t="shared" si="1"/>
        <v>12.8</v>
      </c>
      <c r="C168" s="4">
        <f aca="true" t="shared" si="8" ref="C168:C204">$B168/$G$6*0.5*PI()</f>
        <v>2.0106192982974678</v>
      </c>
      <c r="D168" s="4">
        <f t="shared" si="2"/>
        <v>0.9048270524660195</v>
      </c>
      <c r="E168" s="5">
        <f t="shared" si="3"/>
        <v>-0.4257792915650727</v>
      </c>
      <c r="F168" s="9" t="str">
        <f>IF($B$7&gt;0,COMPLEX($E168,0),1)</f>
        <v>-0.425779291565073</v>
      </c>
      <c r="G168" s="9" t="str">
        <f>IF($B$7&gt;0,COMPLEX(0,$D168*$B$16),0)</f>
        <v>108.200410998323i</v>
      </c>
      <c r="H168" s="9" t="str">
        <f>IF($B$7&gt;0,COMPLEX(0,$D168/$B$16),0)</f>
        <v>7.56662555456496E-003i</v>
      </c>
      <c r="I168" s="9" t="str">
        <f>IF($B$7&gt;0,COMPLEX($E168,0),1)</f>
        <v>-0.425779291565073</v>
      </c>
      <c r="J168" s="9" t="str">
        <f>IF($B$7&gt;1,COMPLEX($E168,0),1)</f>
        <v>-0.425779291565073</v>
      </c>
      <c r="K168" s="9" t="str">
        <f>IF($B$7&gt;1,COMPLEX(0,$D168*$B$17),0)</f>
        <v>129.387476958153i</v>
      </c>
      <c r="L168" s="9" t="str">
        <f>IF($B$7&gt;1,COMPLEX(0,$D168/$B$17),0)</f>
        <v>6.32759842082039E-003i</v>
      </c>
      <c r="M168" s="9" t="str">
        <f>IF($B$7&gt;1,COMPLEX($E168,0),1)</f>
        <v>-0.425779291565073</v>
      </c>
      <c r="N168" s="9" t="str">
        <f>IF($B$7&gt;2,COMPLEX($E168,0),1)</f>
        <v>-0.425779291565073</v>
      </c>
      <c r="O168" s="9" t="str">
        <f>IF($B$7&gt;2,COMPLEX(0,$D168*$B$18),0)</f>
        <v>154.723249561927i</v>
      </c>
      <c r="P168" s="9" t="str">
        <f>IF($B$7&gt;2,COMPLEX(0,$D168/$B$18),0)</f>
        <v>5.29146070285101E-003i</v>
      </c>
      <c r="Q168" s="9" t="str">
        <f>IF($B$7&gt;2,COMPLEX($E168,0),1)</f>
        <v>-0.425779291565073</v>
      </c>
      <c r="R168" s="9" t="str">
        <f>IF($B$7&gt;3,COMPLEX($E168,0),1)</f>
        <v>-0.425779291565073</v>
      </c>
      <c r="S168" s="9" t="str">
        <f>IF($B$7&gt;3,COMPLEX(0,$D168*$B$19),0)</f>
        <v>185.020100227666i</v>
      </c>
      <c r="T168" s="9" t="str">
        <f>IF($B$7&gt;3,COMPLEX(0,$D168/$B$19),0)</f>
        <v>4.42498946799254E-003i</v>
      </c>
      <c r="U168" s="9" t="str">
        <f>IF($B$7&gt;3,COMPLEX($E168,0),1)</f>
        <v>-0.425779291565073</v>
      </c>
      <c r="V168" s="9" t="str">
        <f>IF($B$7&gt;4,COMPLEX($E168,0),1)</f>
        <v>-0.425779291565073</v>
      </c>
      <c r="W168" s="9" t="str">
        <f>IF($B$7&gt;4,COMPLEX(0,$D168*$B$20),0)</f>
        <v>221.249473399627i</v>
      </c>
      <c r="X168" s="9" t="str">
        <f>IF($B$7&gt;4,COMPLEX(0,$D168/$B$20),0)</f>
        <v>3.70040200455331E-003i</v>
      </c>
      <c r="Y168" s="9" t="str">
        <f>IF($B$7&gt;4,COMPLEX($E168,0),1)</f>
        <v>-0.425779291565073</v>
      </c>
      <c r="Z168" s="9" t="str">
        <f>IF($B$7&gt;5,COMPLEX($E168,0),1)</f>
        <v>-0.425779291565073</v>
      </c>
      <c r="AA168" s="9" t="str">
        <f>IF($B$7&gt;5,COMPLEX(0,$D168*$B$21),0)</f>
        <v>264.57303514255i</v>
      </c>
      <c r="AB168" s="9" t="str">
        <f>IF($B$7&gt;5,COMPLEX(0,$D168/$B$21),0)</f>
        <v>3.09446499123853E-003i</v>
      </c>
      <c r="AC168" s="9" t="str">
        <f>IF($B$7&gt;5,COMPLEX($E168,0),1)</f>
        <v>-0.425779291565073</v>
      </c>
      <c r="AD168" s="9" t="str">
        <f>IF($B$7&gt;6,COMPLEX($E168,0),1)</f>
        <v>-0.425779291565073</v>
      </c>
      <c r="AE168" s="9" t="str">
        <f>IF($B$7&gt;6,COMPLEX(0,$D168*$B$22),0)</f>
        <v>316.37992104102i</v>
      </c>
      <c r="AF168" s="9" t="str">
        <f>IF($B$7&gt;6,COMPLEX(0,$D168/$B$22),0)</f>
        <v>2.58774953916306E-003i</v>
      </c>
      <c r="AG168" s="9" t="str">
        <f>IF($B$7&gt;6,COMPLEX($E168,0),1)</f>
        <v>-0.425779291565073</v>
      </c>
      <c r="AH168" s="9" t="str">
        <f>IF($B$7&gt;7,COMPLEX($E168,0),1)</f>
        <v>-0.425779291565073</v>
      </c>
      <c r="AI168" s="9" t="str">
        <f>IF($B$7&gt;7,COMPLEX(0,$D168*$B$23),0)</f>
        <v>378.331277728248i</v>
      </c>
      <c r="AJ168" s="9" t="str">
        <f>IF($B$7&gt;7,COMPLEX(0,$D168/$B$23),0)</f>
        <v>2.16400821996647E-003i</v>
      </c>
      <c r="AK168" s="9" t="str">
        <f>IF($B$7&gt;7,COMPLEX($E168,0),1)</f>
        <v>-0.425779291565073</v>
      </c>
      <c r="AL168" s="4" t="str">
        <f>IMSUM(IMPRODUCT(F168,J168),IMPRODUCT(G168,L168))</f>
        <v>-0.503360744639451</v>
      </c>
      <c r="AM168" s="5" t="str">
        <f>IMSUM(IMPRODUCT(F168,K168),IMPRODUCT(G168,M168))</f>
        <v>-101.16000261855i</v>
      </c>
      <c r="AN168" s="5" t="str">
        <f>IMSUM(IMPRODUCT(H168,J168),IMPRODUCT(I168,L168))</f>
        <v>-5.91587284108603E-003i</v>
      </c>
      <c r="AO168" s="5" t="str">
        <f>IMSUM(IMPRODUCT(H168,K168),IMPRODUCT(I168,M168))</f>
        <v>-0.797738584466591</v>
      </c>
      <c r="AP168" s="4" t="str">
        <f>IMSUM(IMPRODUCT(AL168,N168),IMPRODUCT(AM168,P168))</f>
        <v>0.749604759810616</v>
      </c>
      <c r="AQ168" s="5" t="str">
        <f>IMSUM(IMPRODUCT(AL168,O168),IMPRODUCT(AM168,Q168))</f>
        <v>-34.8097758628801i</v>
      </c>
      <c r="AR168" s="5" t="str">
        <f>IMSUM(IMPRODUCT(AN168,N168),IMPRODUCT(AO168,P168))</f>
        <v>-1.70234622358629E-003i</v>
      </c>
      <c r="AS168" s="5" t="str">
        <f>IMSUM(IMPRODUCT(AN168,O168),IMPRODUCT(AO168,Q168))</f>
        <v>1.25498363931629</v>
      </c>
      <c r="AT168" s="4" t="str">
        <f>IMSUM(IMPRODUCT(AP168,R168),IMPRODUCT(AQ168,T168))</f>
        <v>-0.165133292009546</v>
      </c>
      <c r="AU168" s="5" t="str">
        <f>IMSUM(IMPRODUCT(AP168,S168),IMPRODUCT(AQ168,U168))</f>
        <v>153.513229497732i</v>
      </c>
      <c r="AV168" s="5" t="str">
        <f>IMSUM(IMPRODUCT(AR168,R168),IMPRODUCT(AS168,T168))</f>
        <v>6.27811315555458E-003i</v>
      </c>
      <c r="AW168" s="5" t="str">
        <f>IMSUM(IMPRODUCT(AR168,S168),IMPRODUCT(AS168,U168))</f>
        <v>-0.219377775963723</v>
      </c>
      <c r="AX168" s="4" t="str">
        <f>IMSUM(IMPRODUCT(AT168,V168),IMPRODUCT(AU168,X168))</f>
        <v>-0.497750326073227</v>
      </c>
      <c r="AY168" s="5" t="str">
        <f>IMSUM(IMPRODUCT(AT168,W168),IMPRODUCT(AU168,Y168))</f>
        <v>-101.89840799927i</v>
      </c>
      <c r="AZ168" s="5" t="str">
        <f>IMSUM(IMPRODUCT(AV168,V168),IMPRODUCT(AW168,X168))</f>
        <v>-3.484876533668E-003i</v>
      </c>
      <c r="BA168" s="5" t="str">
        <f>IMSUM(IMPRODUCT(AV168,W168),IMPRODUCT(AW168,Y168))</f>
        <v>-1.29562271557476</v>
      </c>
      <c r="BB168" s="4" t="str">
        <f>IMSUM(IMPRODUCT(AX168,Z168),IMPRODUCT(AY168,AB168))</f>
        <v>0.527252837428424</v>
      </c>
      <c r="BC168" s="5" t="str">
        <f>IMSUM(IMPRODUCT(AX168,AA168),IMPRODUCT(AY168,AC168))</f>
        <v>-88.30508254285i</v>
      </c>
      <c r="BD168" s="5" t="str">
        <f>IMSUM(IMPRODUCT(AZ168,Z168),IMPRODUCT(BA168,AB168))</f>
        <v>-2.52547087350258E-003i</v>
      </c>
      <c r="BE168" s="5" t="str">
        <f>IMSUM(IMPRODUCT(AZ168,AA168),IMPRODUCT(BA168,AC168))</f>
        <v>1.47365368358263</v>
      </c>
      <c r="BF168" s="4" t="str">
        <f>IMSUM(IMPRODUCT(BB168,AD168),IMPRODUCT(BC168,AF168))</f>
        <v>4.01809706006701E-003</v>
      </c>
      <c r="BG168" s="5" t="str">
        <f>IMSUM(IMPRODUCT(BB168,AE168),IMPRODUCT(BC168,AG168))</f>
        <v>204.410686560949i</v>
      </c>
      <c r="BH168" s="5" t="str">
        <f>IMSUM(IMPRODUCT(BD168,AD168),IMPRODUCT(BE168,AF168))</f>
        <v>4.88873983996505E-003i</v>
      </c>
      <c r="BI168" s="5" t="str">
        <f>IMSUM(IMPRODUCT(BD168,AE168),IMPRODUCT(BE168,AG168))</f>
        <v>0.17155705414207</v>
      </c>
      <c r="BJ168" s="4" t="str">
        <f>IMSUM(IMPRODUCT(BF168,AH168),IMPRODUCT(BG168,AJ168))</f>
        <v>-0.444057228486558</v>
      </c>
      <c r="BK168" s="5" t="str">
        <f>IMSUM(IMPRODUCT(BF168,AI168),IMPRODUCT(BG168,AK168))</f>
        <v>-85.5136655174798i</v>
      </c>
      <c r="BL168" s="5" t="str">
        <f>IMSUM(IMPRODUCT(BH168,AH168),IMPRODUCT(BI168,AJ168))</f>
        <v>-1.7102733103496E-003i</v>
      </c>
      <c r="BM168" s="5" t="str">
        <f>IMSUM(IMPRODUCT(BH168,AI168),IMPRODUCT(BI168,AK168))</f>
        <v>-1.92260863111057</v>
      </c>
      <c r="BN168" s="4">
        <f t="shared" si="4"/>
        <v>500</v>
      </c>
      <c r="BO168" s="4">
        <v>1</v>
      </c>
      <c r="BP168" s="4" t="str">
        <f>IMSUM(IMPRODUCT($BJ168,$BN168),IMPRODUCT($BK168,$BO168))</f>
        <v>-222.028614243279-85.5136655174798i</v>
      </c>
      <c r="BQ168" s="4" t="str">
        <f>IMSUM(IMPRODUCT($BL168,$BN168),IMPRODUCT($BM168,$BO168))</f>
        <v>-1.92260863111057-0.8551366551748i</v>
      </c>
      <c r="BR168" s="4" t="str">
        <f>IMDIV($BP168,$BQ168)</f>
        <v>112.925889186885-5.74916884568887i</v>
      </c>
      <c r="BS168" s="4" t="str">
        <f>IMDIV(IMSUB($BQ$100,$BR168),IMSUM($BQ$100,$BR168))</f>
        <v>-6.13903345811727E-002+2.53432096364389E-002i</v>
      </c>
      <c r="BT168" s="4">
        <f>IMABS($BS168)</f>
        <v>0.06641574703837048</v>
      </c>
      <c r="BU168" s="4">
        <f t="shared" si="5"/>
        <v>1.1422812067098997</v>
      </c>
      <c r="BV168" s="4">
        <f t="shared" si="6"/>
        <v>-0.019199328874867107</v>
      </c>
    </row>
    <row r="169" spans="1:74" ht="12.75">
      <c r="A169" s="5">
        <v>66</v>
      </c>
      <c r="B169" s="5">
        <f aca="true" t="shared" si="9" ref="B169:B204">$B$10+0.01*($B$11-$B$10)*(A169-1)</f>
        <v>13</v>
      </c>
      <c r="C169" s="4">
        <f t="shared" si="8"/>
        <v>2.0420352248333655</v>
      </c>
      <c r="D169" s="4">
        <f aca="true" t="shared" si="10" ref="D169:D204">SIN($C169)</f>
        <v>0.8910065241883679</v>
      </c>
      <c r="E169" s="5">
        <f aca="true" t="shared" si="11" ref="E169:E204">COS($C169)</f>
        <v>-0.4539904997395467</v>
      </c>
      <c r="F169" s="9" t="str">
        <f>IF($B$7&gt;0,COMPLEX($E169,0),1)</f>
        <v>-0.453990499739547</v>
      </c>
      <c r="G169" s="9" t="str">
        <f>IF($B$7&gt;0,COMPLEX(0,$D169*$B$16),0)</f>
        <v>106.547734019026i</v>
      </c>
      <c r="H169" s="9" t="str">
        <f>IF($B$7&gt;0,COMPLEX(0,$D169/$B$16),0)</f>
        <v>7.45105124436032E-003i</v>
      </c>
      <c r="I169" s="9" t="str">
        <f>IF($B$7&gt;0,COMPLEX($E169,0),1)</f>
        <v>-0.453990499739547</v>
      </c>
      <c r="J169" s="9" t="str">
        <f>IF($B$7&gt;1,COMPLEX($E169,0),1)</f>
        <v>-0.453990499739547</v>
      </c>
      <c r="K169" s="9" t="str">
        <f>IF($B$7&gt;1,COMPLEX(0,$D169*$B$17),0)</f>
        <v>127.411184053116i</v>
      </c>
      <c r="L169" s="9" t="str">
        <f>IF($B$7&gt;1,COMPLEX(0,$D169/$B$17),0)</f>
        <v>6.23094928476038E-003i</v>
      </c>
      <c r="M169" s="9" t="str">
        <f>IF($B$7&gt;1,COMPLEX($E169,0),1)</f>
        <v>-0.453990499739547</v>
      </c>
      <c r="N169" s="9" t="str">
        <f>IF($B$7&gt;2,COMPLEX($E169,0),1)</f>
        <v>-0.453990499739547</v>
      </c>
      <c r="O169" s="9" t="str">
        <f>IF($B$7&gt;2,COMPLEX(0,$D169*$B$18),0)</f>
        <v>152.359972469412i</v>
      </c>
      <c r="P169" s="9" t="str">
        <f>IF($B$7&gt;2,COMPLEX(0,$D169/$B$18),0)</f>
        <v>5.21063776318036E-003i</v>
      </c>
      <c r="Q169" s="9" t="str">
        <f>IF($B$7&gt;2,COMPLEX($E169,0),1)</f>
        <v>-0.453990499739547</v>
      </c>
      <c r="R169" s="9" t="str">
        <f>IF($B$7&gt;3,COMPLEX($E169,0),1)</f>
        <v>-0.453990499739547</v>
      </c>
      <c r="S169" s="9" t="str">
        <f>IF($B$7&gt;3,COMPLEX(0,$D169*$B$19),0)</f>
        <v>182.194062345441i</v>
      </c>
      <c r="T169" s="9" t="str">
        <f>IF($B$7&gt;3,COMPLEX(0,$D169/$B$19),0)</f>
        <v>4.35740120136852E-003i</v>
      </c>
      <c r="U169" s="9" t="str">
        <f>IF($B$7&gt;3,COMPLEX($E169,0),1)</f>
        <v>-0.453990499739547</v>
      </c>
      <c r="V169" s="9" t="str">
        <f>IF($B$7&gt;4,COMPLEX($E169,0),1)</f>
        <v>-0.453990499739547</v>
      </c>
      <c r="W169" s="9" t="str">
        <f>IF($B$7&gt;4,COMPLEX(0,$D169*$B$20),0)</f>
        <v>217.870060068426i</v>
      </c>
      <c r="X169" s="9" t="str">
        <f>IF($B$7&gt;4,COMPLEX(0,$D169/$B$20),0)</f>
        <v>3.64388124690882E-003i</v>
      </c>
      <c r="Y169" s="9" t="str">
        <f>IF($B$7&gt;4,COMPLEX($E169,0),1)</f>
        <v>-0.453990499739547</v>
      </c>
      <c r="Z169" s="9" t="str">
        <f>IF($B$7&gt;5,COMPLEX($E169,0),1)</f>
        <v>-0.453990499739547</v>
      </c>
      <c r="AA169" s="9" t="str">
        <f>IF($B$7&gt;5,COMPLEX(0,$D169*$B$21),0)</f>
        <v>260.531888159018i</v>
      </c>
      <c r="AB169" s="9" t="str">
        <f>IF($B$7&gt;5,COMPLEX(0,$D169/$B$21),0)</f>
        <v>3.04719944938824E-003i</v>
      </c>
      <c r="AC169" s="9" t="str">
        <f>IF($B$7&gt;5,COMPLEX($E169,0),1)</f>
        <v>-0.453990499739547</v>
      </c>
      <c r="AD169" s="9" t="str">
        <f>IF($B$7&gt;6,COMPLEX($E169,0),1)</f>
        <v>-0.453990499739547</v>
      </c>
      <c r="AE169" s="9" t="str">
        <f>IF($B$7&gt;6,COMPLEX(0,$D169*$B$22),0)</f>
        <v>311.547464238019i</v>
      </c>
      <c r="AF169" s="9" t="str">
        <f>IF($B$7&gt;6,COMPLEX(0,$D169/$B$22),0)</f>
        <v>2.54822368106232E-003i</v>
      </c>
      <c r="AG169" s="9" t="str">
        <f>IF($B$7&gt;6,COMPLEX($E169,0),1)</f>
        <v>-0.453990499739547</v>
      </c>
      <c r="AH169" s="9" t="str">
        <f>IF($B$7&gt;7,COMPLEX($E169,0),1)</f>
        <v>-0.453990499739547</v>
      </c>
      <c r="AI169" s="9" t="str">
        <f>IF($B$7&gt;7,COMPLEX(0,$D169*$B$23),0)</f>
        <v>372.552562218016i</v>
      </c>
      <c r="AJ169" s="9" t="str">
        <f>IF($B$7&gt;7,COMPLEX(0,$D169/$B$23),0)</f>
        <v>2.13095468038052E-003i</v>
      </c>
      <c r="AK169" s="9" t="str">
        <f>IF($B$7&gt;7,COMPLEX($E169,0),1)</f>
        <v>-0.453990499739547</v>
      </c>
      <c r="AL169" s="4" t="str">
        <f>IMSUM(IMPRODUCT(F169,J169),IMPRODUCT(G169,L169))</f>
        <v>-0.457786153224925</v>
      </c>
      <c r="AM169" s="5" t="str">
        <f>IMSUM(IMPRODUCT(F169,K169),IMPRODUCT(G169,M169))</f>
        <v>-106.215126134095i</v>
      </c>
      <c r="AN169" s="5" t="str">
        <f>IMSUM(IMPRODUCT(H169,J169),IMPRODUCT(I169,L169))</f>
        <v>-6.21149825765226E-003i</v>
      </c>
      <c r="AO169" s="5" t="str">
        <f>IMSUM(IMPRODUCT(H169,K169),IMPRODUCT(I169,M169))</f>
        <v>-0.743239887630628</v>
      </c>
      <c r="AP169" s="4" t="str">
        <f>IMSUM(IMPRODUCT(AL169,N169),IMPRODUCT(AM169,P169))</f>
        <v>0.76127911173171</v>
      </c>
      <c r="AQ169" s="5" t="str">
        <f>IMSUM(IMPRODUCT(AL169,O169),IMPRODUCT(AM169,Q169))</f>
        <v>-21.5276275087108i</v>
      </c>
      <c r="AR169" s="5" t="str">
        <f>IMSUM(IMPRODUCT(AN169,N169),IMPRODUCT(AO169,P169))</f>
        <v>-1.0527926274672E-003i</v>
      </c>
      <c r="AS169" s="5" t="str">
        <f>IMSUM(IMPRODUCT(AN169,O169),IMPRODUCT(AO169,Q169))</f>
        <v>1.28380755154149</v>
      </c>
      <c r="AT169" s="4" t="str">
        <f>IMSUM(IMPRODUCT(AP169,R169),IMPRODUCT(AQ169,T169))</f>
        <v>-0.251808974407287</v>
      </c>
      <c r="AU169" s="5" t="str">
        <f>IMSUM(IMPRODUCT(AP169,S169),IMPRODUCT(AQ169,U169))</f>
        <v>148.473872316015i</v>
      </c>
      <c r="AV169" s="5" t="str">
        <f>IMSUM(IMPRODUCT(AR169,R169),IMPRODUCT(AS169,T169))</f>
        <v>6.07202241847882E-003i</v>
      </c>
      <c r="AW169" s="5" t="str">
        <f>IMSUM(IMPRODUCT(AR169,S169),IMPRODUCT(AS169,U169))</f>
        <v>-0.391023866288145</v>
      </c>
      <c r="AX169" s="4" t="str">
        <f>IMSUM(IMPRODUCT(AT169,V169),IMPRODUCT(AU169,X169))</f>
        <v>-0.426702276858195</v>
      </c>
      <c r="AY169" s="5" t="str">
        <f>IMSUM(IMPRODUCT(AT169,W169),IMPRODUCT(AU169,Y169))</f>
        <v>-122.267363870898i</v>
      </c>
      <c r="AZ169" s="5" t="str">
        <f>IMSUM(IMPRODUCT(AV169,V169),IMPRODUCT(AW169,X169))</f>
        <v>-4.18148502565608E-003i</v>
      </c>
      <c r="BA169" s="5" t="str">
        <f>IMSUM(IMPRODUCT(AV169,W169),IMPRODUCT(AW169,Y169))</f>
        <v>-1.14539076858457</v>
      </c>
      <c r="BB169" s="4" t="str">
        <f>IMSUM(IMPRODUCT(AX169,Z169),IMPRODUCT(AY169,AB169))</f>
        <v>0.566291823776407</v>
      </c>
      <c r="BC169" s="5" t="str">
        <f>IMSUM(IMPRODUCT(AX169,AA169),IMPRODUCT(AY169,AC169))</f>
        <v>-55.661328246032i</v>
      </c>
      <c r="BD169" s="5" t="str">
        <f>IMSUM(IMPRODUCT(AZ169,Z169),IMPRODUCT(BA169,AB169))</f>
        <v>-1.59187964291423E-003i</v>
      </c>
      <c r="BE169" s="5" t="str">
        <f>IMSUM(IMPRODUCT(AZ169,AA169),IMPRODUCT(BA169,AC169))</f>
        <v>1.60940671646961</v>
      </c>
      <c r="BF169" s="4" t="str">
        <f>IMSUM(IMPRODUCT(BB169,AD169),IMPRODUCT(BC169,AF169))</f>
        <v>-0.115253593318749</v>
      </c>
      <c r="BG169" s="5" t="str">
        <f>IMSUM(IMPRODUCT(BB169,AE169),IMPRODUCT(BC169,AG169))</f>
        <v>201.696495942846i</v>
      </c>
      <c r="BH169" s="5" t="str">
        <f>IMSUM(IMPRODUCT(BD169,AD169),IMPRODUCT(BE169,AF169))</f>
        <v>4.82382654198045E-003i</v>
      </c>
      <c r="BI169" s="5" t="str">
        <f>IMSUM(IMPRODUCT(BD169,AE169),IMPRODUCT(BE169,AG169))</f>
        <v>-0.23470929337217</v>
      </c>
      <c r="BJ169" s="4" t="str">
        <f>IMSUM(IMPRODUCT(BF169,AH169),IMPRODUCT(BG169,AJ169))</f>
        <v>-0.377482055618201</v>
      </c>
      <c r="BK169" s="5" t="str">
        <f>IMSUM(IMPRODUCT(BF169,AI169),IMPRODUCT(BG169,AK169))</f>
        <v>-134.506314484541i</v>
      </c>
      <c r="BL169" s="5" t="str">
        <f>IMSUM(IMPRODUCT(BH169,AH169),IMPRODUCT(BI169,AJ169))</f>
        <v>-2.69012628969083E-003i</v>
      </c>
      <c r="BM169" s="5" t="str">
        <f>IMSUM(IMPRODUCT(BH169,AI169),IMPRODUCT(BI169,AK169))</f>
        <v>-1.69057314851854</v>
      </c>
      <c r="BN169" s="4">
        <f aca="true" t="shared" si="12" ref="BN169:BN204">$B$6</f>
        <v>500</v>
      </c>
      <c r="BO169" s="4">
        <v>1</v>
      </c>
      <c r="BP169" s="4" t="str">
        <f>IMSUM(IMPRODUCT($BJ169,$BN169),IMPRODUCT($BK169,$BO169))</f>
        <v>-188.7410278091-134.506314484541i</v>
      </c>
      <c r="BQ169" s="4" t="str">
        <f>IMSUM(IMPRODUCT($BL169,$BN169),IMPRODUCT($BM169,$BO169))</f>
        <v>-1.69057314851854-1.34506314484542i</v>
      </c>
      <c r="BR169" s="4" t="str">
        <f>IMDIV($BP169,$BQ169)</f>
        <v>107.129869158742-5.6727058757551i</v>
      </c>
      <c r="BS169" s="4" t="str">
        <f>IMDIV(IMSUB($BQ$100,$BR169),IMSUM($BQ$100,$BR169))</f>
        <v>-3.51459132010243E-002+2.64246458980581E-002i</v>
      </c>
      <c r="BT169" s="4">
        <f>IMABS($BS169)</f>
        <v>0.04397154904676083</v>
      </c>
      <c r="BU169" s="4">
        <f aca="true" t="shared" si="13" ref="BU169:BU204">(1+$BT169)/(1-$BT169)</f>
        <v>1.0919879507830914</v>
      </c>
      <c r="BV169" s="4">
        <f aca="true" t="shared" si="14" ref="BV169:BV204">10*LOG10(1-$BT169^2)</f>
        <v>-0.008405199659849049</v>
      </c>
    </row>
    <row r="170" spans="1:74" ht="12.75">
      <c r="A170" s="5">
        <v>67</v>
      </c>
      <c r="B170" s="5">
        <f t="shared" si="9"/>
        <v>13.200000000000001</v>
      </c>
      <c r="C170" s="4">
        <f t="shared" si="8"/>
        <v>2.0734511513692637</v>
      </c>
      <c r="D170" s="4">
        <f t="shared" si="10"/>
        <v>0.8763066800438636</v>
      </c>
      <c r="E170" s="5">
        <f t="shared" si="11"/>
        <v>-0.48175367410171543</v>
      </c>
      <c r="F170" s="9" t="str">
        <f>IF($B$7&gt;0,COMPLEX($E170,0),1)</f>
        <v>-0.481753674101715</v>
      </c>
      <c r="G170" s="9" t="str">
        <f>IF($B$7&gt;0,COMPLEX(0,$D170*$B$16),0)</f>
        <v>104.789907289916i</v>
      </c>
      <c r="H170" s="9" t="str">
        <f>IF($B$7&gt;0,COMPLEX(0,$D170/$B$16),0)</f>
        <v>7.3281236461538E-003i</v>
      </c>
      <c r="I170" s="9" t="str">
        <f>IF($B$7&gt;0,COMPLEX($E170,0),1)</f>
        <v>-0.481753674101715</v>
      </c>
      <c r="J170" s="9" t="str">
        <f>IF($B$7&gt;1,COMPLEX($E170,0),1)</f>
        <v>-0.481753674101715</v>
      </c>
      <c r="K170" s="9" t="str">
        <f>IF($B$7&gt;1,COMPLEX(0,$D170*$B$17),0)</f>
        <v>125.309151691957i</v>
      </c>
      <c r="L170" s="9" t="str">
        <f>IF($B$7&gt;1,COMPLEX(0,$D170/$B$17),0)</f>
        <v>6.12815095402792E-003i</v>
      </c>
      <c r="M170" s="9" t="str">
        <f>IF($B$7&gt;1,COMPLEX($E170,0),1)</f>
        <v>-0.481753674101715</v>
      </c>
      <c r="N170" s="9" t="str">
        <f>IF($B$7&gt;2,COMPLEX($E170,0),1)</f>
        <v>-0.481753674101715</v>
      </c>
      <c r="O170" s="9" t="str">
        <f>IF($B$7&gt;2,COMPLEX(0,$D170*$B$18),0)</f>
        <v>149.846334478712i</v>
      </c>
      <c r="P170" s="9" t="str">
        <f>IF($B$7&gt;2,COMPLEX(0,$D170/$B$18),0)</f>
        <v>5.12467255312537E-003i</v>
      </c>
      <c r="Q170" s="9" t="str">
        <f>IF($B$7&gt;2,COMPLEX($E170,0),1)</f>
        <v>-0.481753674101715</v>
      </c>
      <c r="R170" s="9" t="str">
        <f>IF($B$7&gt;3,COMPLEX($E170,0),1)</f>
        <v>-0.481753674101715</v>
      </c>
      <c r="S170" s="9" t="str">
        <f>IF($B$7&gt;3,COMPLEX(0,$D170*$B$19),0)</f>
        <v>179.188220920238i</v>
      </c>
      <c r="T170" s="9" t="str">
        <f>IF($B$7&gt;3,COMPLEX(0,$D170/$B$19),0)</f>
        <v>4.28551270583417E-003i</v>
      </c>
      <c r="U170" s="9" t="str">
        <f>IF($B$7&gt;3,COMPLEX($E170,0),1)</f>
        <v>-0.481753674101715</v>
      </c>
      <c r="V170" s="9" t="str">
        <f>IF($B$7&gt;4,COMPLEX($E170,0),1)</f>
        <v>-0.481753674101715</v>
      </c>
      <c r="W170" s="9" t="str">
        <f>IF($B$7&gt;4,COMPLEX(0,$D170*$B$20),0)</f>
        <v>214.275635291709i</v>
      </c>
      <c r="X170" s="9" t="str">
        <f>IF($B$7&gt;4,COMPLEX(0,$D170/$B$20),0)</f>
        <v>3.58376441840475E-003i</v>
      </c>
      <c r="Y170" s="9" t="str">
        <f>IF($B$7&gt;4,COMPLEX($E170,0),1)</f>
        <v>-0.481753674101715</v>
      </c>
      <c r="Z170" s="9" t="str">
        <f>IF($B$7&gt;5,COMPLEX($E170,0),1)</f>
        <v>-0.481753674101715</v>
      </c>
      <c r="AA170" s="9" t="str">
        <f>IF($B$7&gt;5,COMPLEX(0,$D170*$B$21),0)</f>
        <v>256.233627656268i</v>
      </c>
      <c r="AB170" s="9" t="str">
        <f>IF($B$7&gt;5,COMPLEX(0,$D170/$B$21),0)</f>
        <v>2.99692668957424E-003i</v>
      </c>
      <c r="AC170" s="9" t="str">
        <f>IF($B$7&gt;5,COMPLEX($E170,0),1)</f>
        <v>-0.481753674101715</v>
      </c>
      <c r="AD170" s="9" t="str">
        <f>IF($B$7&gt;6,COMPLEX($E170,0),1)</f>
        <v>-0.481753674101715</v>
      </c>
      <c r="AE170" s="9" t="str">
        <f>IF($B$7&gt;6,COMPLEX(0,$D170*$B$22),0)</f>
        <v>306.407547701396i</v>
      </c>
      <c r="AF170" s="9" t="str">
        <f>IF($B$7&gt;6,COMPLEX(0,$D170/$B$22),0)</f>
        <v>2.50618303383915E-003i</v>
      </c>
      <c r="AG170" s="9" t="str">
        <f>IF($B$7&gt;6,COMPLEX($E170,0),1)</f>
        <v>-0.481753674101715</v>
      </c>
      <c r="AH170" s="9" t="str">
        <f>IF($B$7&gt;7,COMPLEX($E170,0),1)</f>
        <v>-0.481753674101715</v>
      </c>
      <c r="AI170" s="9" t="str">
        <f>IF($B$7&gt;7,COMPLEX(0,$D170*$B$23),0)</f>
        <v>366.40618230769i</v>
      </c>
      <c r="AJ170" s="9" t="str">
        <f>IF($B$7&gt;7,COMPLEX(0,$D170/$B$23),0)</f>
        <v>2.09579814579832E-003i</v>
      </c>
      <c r="AK170" s="9" t="str">
        <f>IF($B$7&gt;7,COMPLEX($E170,0),1)</f>
        <v>-0.481753674101715</v>
      </c>
      <c r="AL170" s="4" t="str">
        <f>IMSUM(IMPRODUCT(F170,J170),IMPRODUCT(G170,L170))</f>
        <v>-0.410081767820695</v>
      </c>
      <c r="AM170" s="5" t="str">
        <f>IMSUM(IMPRODUCT(F170,K170),IMPRODUCT(G170,M170))</f>
        <v>-110.851067071864i</v>
      </c>
      <c r="AN170" s="5" t="str">
        <f>IMSUM(IMPRODUCT(H170,J170),IMPRODUCT(I170,L170))</f>
        <v>-6.48260972835913E-003i</v>
      </c>
      <c r="AO170" s="5" t="str">
        <f>IMSUM(IMPRODUCT(H170,K170),IMPRODUCT(I170,M170))</f>
        <v>-0.686194355082803</v>
      </c>
      <c r="AP170" s="4" t="str">
        <f>IMSUM(IMPRODUCT(AL170,N170),IMPRODUCT(AM170,P170))</f>
        <v>0.765633819237587</v>
      </c>
      <c r="AQ170" s="5" t="str">
        <f>IMSUM(IMPRODUCT(AL170,O170),IMPRODUCT(AM170,Q170))</f>
        <v>-8.0463409045153i</v>
      </c>
      <c r="AR170" s="5" t="str">
        <f>IMSUM(IMPRODUCT(AN170,N170),IMPRODUCT(AO170,P170))</f>
        <v>-3.9350032319788E-004i</v>
      </c>
      <c r="AS170" s="5" t="str">
        <f>IMSUM(IMPRODUCT(AN170,O170),IMPRODUCT(AO170,Q170))</f>
        <v>1.30197195735965</v>
      </c>
      <c r="AT170" s="4" t="str">
        <f>IMSUM(IMPRODUCT(AP170,R170),IMPRODUCT(AQ170,T170))</f>
        <v>-0.334364209252462</v>
      </c>
      <c r="AU170" s="5" t="str">
        <f>IMSUM(IMPRODUCT(AP170,S170),IMPRODUCT(AQ170,U170))</f>
        <v>141.068916239375i</v>
      </c>
      <c r="AV170" s="5" t="str">
        <f>IMSUM(IMPRODUCT(AR170,R170),IMPRODUCT(AS170,T170))</f>
        <v>5.76918759236535E-003i</v>
      </c>
      <c r="AW170" s="5" t="str">
        <f>IMSUM(IMPRODUCT(AR170,S170),IMPRODUCT(AS170,U170))</f>
        <v>-0.556719151190046</v>
      </c>
      <c r="AX170" s="4" t="str">
        <f>IMSUM(IMPRODUCT(AT170,V170),IMPRODUCT(AU170,X170))</f>
        <v>-0.344476576266104</v>
      </c>
      <c r="AY170" s="5" t="str">
        <f>IMSUM(IMPRODUCT(AT170,W170),IMPRODUCT(AU170,Y170))</f>
        <v>-139.606572056247i</v>
      </c>
      <c r="AZ170" s="5" t="str">
        <f>IMSUM(IMPRODUCT(AV170,V170),IMPRODUCT(AW170,X170))</f>
        <v>-4.77447760428341E-003i</v>
      </c>
      <c r="BA170" s="5" t="str">
        <f>IMSUM(IMPRODUCT(AV170,W170),IMPRODUCT(AW170,Y170))</f>
        <v>-0.967994839942537</v>
      </c>
      <c r="BB170" s="4" t="str">
        <f>IMSUM(IMPRODUCT(AX170,Z170),IMPRODUCT(AY170,AB170))</f>
        <v>0.584343518093511</v>
      </c>
      <c r="BC170" s="5" t="str">
        <f>IMSUM(IMPRODUCT(AX170,AA170),IMPRODUCT(AY170,AC170))</f>
        <v>-21.0105037624321i</v>
      </c>
      <c r="BD170" s="5" t="str">
        <f>IMSUM(IMPRODUCT(AZ170,Z170),IMPRODUCT(BA170,AB170))</f>
        <v>-6.0088744341404E-004i</v>
      </c>
      <c r="BE170" s="5" t="str">
        <f>IMSUM(IMPRODUCT(AZ170,AA170),IMPRODUCT(BA170,AC170))</f>
        <v>1.68971678736297</v>
      </c>
      <c r="BF170" s="4" t="str">
        <f>IMSUM(IMPRODUCT(BB170,AD170),IMPRODUCT(BC170,AF170))</f>
        <v>-0.22885346871725</v>
      </c>
      <c r="BG170" s="5" t="str">
        <f>IMSUM(IMPRODUCT(BB170,AE170),IMPRODUCT(BC170,AG170))</f>
        <v>189.169151776519i</v>
      </c>
      <c r="BH170" s="5" t="str">
        <f>IMSUM(IMPRODUCT(BD170,AD170),IMPRODUCT(BE170,AF170))</f>
        <v>4.52421927806857E-003i</v>
      </c>
      <c r="BI170" s="5" t="str">
        <f>IMSUM(IMPRODUCT(BD170,AE170),IMPRODUCT(BE170,AG170))</f>
        <v>-0.6299108225224</v>
      </c>
      <c r="BJ170" s="4" t="str">
        <f>IMSUM(IMPRODUCT(BF170,AH170),IMPRODUCT(BG170,AJ170))</f>
        <v>-0.286209358150012</v>
      </c>
      <c r="BK170" s="5" t="str">
        <f>IMSUM(IMPRODUCT(BF170,AI170),IMPRODUCT(BG170,AK170))</f>
        <v>-174.986259675603i</v>
      </c>
      <c r="BL170" s="5" t="str">
        <f>IMSUM(IMPRODUCT(BH170,AH170),IMPRODUCT(BI170,AJ170))</f>
        <v>-3.49972519351208E-003i</v>
      </c>
      <c r="BM170" s="5" t="str">
        <f>IMSUM(IMPRODUCT(BH170,AI170),IMPRODUCT(BI170,AK170))</f>
        <v>-1.35424006049336</v>
      </c>
      <c r="BN170" s="4">
        <f t="shared" si="12"/>
        <v>500</v>
      </c>
      <c r="BO170" s="4">
        <v>1</v>
      </c>
      <c r="BP170" s="4" t="str">
        <f>IMSUM(IMPRODUCT($BJ170,$BN170),IMPRODUCT($BK170,$BO170))</f>
        <v>-143.104679075006-174.986259675603i</v>
      </c>
      <c r="BQ170" s="4" t="str">
        <f>IMSUM(IMPRODUCT($BL170,$BN170),IMPRODUCT($BM170,$BO170))</f>
        <v>-1.35424006049336-1.74986259675604i</v>
      </c>
      <c r="BR170" s="4" t="str">
        <f>IMDIV($BP170,$BQ170)</f>
        <v>102.124490694717-2.74513131924969i</v>
      </c>
      <c r="BS170" s="4" t="str">
        <f>IMDIV(IMSUB($BQ$100,$BR170),IMSUM($BQ$100,$BR170))</f>
        <v>-1.06932846628374E-002+1.34361592664093E-002i</v>
      </c>
      <c r="BT170" s="4">
        <f>IMABS($BS170)</f>
        <v>0.017171974630565644</v>
      </c>
      <c r="BU170" s="4">
        <f t="shared" si="13"/>
        <v>1.0349440068604288</v>
      </c>
      <c r="BV170" s="4">
        <f t="shared" si="14"/>
        <v>-0.0012808221433231277</v>
      </c>
    </row>
    <row r="171" spans="1:74" ht="12.75">
      <c r="A171" s="5">
        <v>68</v>
      </c>
      <c r="B171" s="5">
        <f t="shared" si="9"/>
        <v>13.4</v>
      </c>
      <c r="C171" s="4">
        <f t="shared" si="8"/>
        <v>2.1048670779051615</v>
      </c>
      <c r="D171" s="4">
        <f t="shared" si="10"/>
        <v>0.8607420270039436</v>
      </c>
      <c r="E171" s="5">
        <f t="shared" si="11"/>
        <v>-0.5090414157503713</v>
      </c>
      <c r="F171" s="9" t="str">
        <f>IF($B$7&gt;0,COMPLEX($E171,0),1)</f>
        <v>-0.509041415750371</v>
      </c>
      <c r="G171" s="9" t="str">
        <f>IF($B$7&gt;0,COMPLEX(0,$D171*$B$16),0)</f>
        <v>102.92866557375i</v>
      </c>
      <c r="H171" s="9" t="str">
        <f>IF($B$7&gt;0,COMPLEX(0,$D171/$B$16),0)</f>
        <v>7.19796407464362E-003i</v>
      </c>
      <c r="I171" s="9" t="str">
        <f>IF($B$7&gt;0,COMPLEX($E171,0),1)</f>
        <v>-0.509041415750371</v>
      </c>
      <c r="J171" s="9" t="str">
        <f>IF($B$7&gt;1,COMPLEX($E171,0),1)</f>
        <v>-0.509041415750371</v>
      </c>
      <c r="K171" s="9" t="str">
        <f>IF($B$7&gt;1,COMPLEX(0,$D171*$B$17),0)</f>
        <v>123.083454326836i</v>
      </c>
      <c r="L171" s="9" t="str">
        <f>IF($B$7&gt;1,COMPLEX(0,$D171/$B$17),0)</f>
        <v>6.01930487816448E-003i</v>
      </c>
      <c r="M171" s="9" t="str">
        <f>IF($B$7&gt;1,COMPLEX($E171,0),1)</f>
        <v>-0.509041415750371</v>
      </c>
      <c r="N171" s="9" t="str">
        <f>IF($B$7&gt;2,COMPLEX($E171,0),1)</f>
        <v>-0.509041415750371</v>
      </c>
      <c r="O171" s="9" t="str">
        <f>IF($B$7&gt;2,COMPLEX(0,$D171*$B$18),0)</f>
        <v>147.184816247049i</v>
      </c>
      <c r="P171" s="9" t="str">
        <f>IF($B$7&gt;2,COMPLEX(0,$D171/$B$18),0)</f>
        <v>5.03364990996966E-003i</v>
      </c>
      <c r="Q171" s="9" t="str">
        <f>IF($B$7&gt;2,COMPLEX($E171,0),1)</f>
        <v>-0.509041415750371</v>
      </c>
      <c r="R171" s="9" t="str">
        <f>IF($B$7&gt;3,COMPLEX($E171,0),1)</f>
        <v>-0.509041415750371</v>
      </c>
      <c r="S171" s="9" t="str">
        <f>IF($B$7&gt;3,COMPLEX(0,$D171*$B$19),0)</f>
        <v>176.005542354642i</v>
      </c>
      <c r="T171" s="9" t="str">
        <f>IF($B$7&gt;3,COMPLEX(0,$D171/$B$19),0)</f>
        <v>4.20939492665538E-003i</v>
      </c>
      <c r="U171" s="9" t="str">
        <f>IF($B$7&gt;3,COMPLEX($E171,0),1)</f>
        <v>-0.509041415750371</v>
      </c>
      <c r="V171" s="9" t="str">
        <f>IF($B$7&gt;4,COMPLEX($E171,0),1)</f>
        <v>-0.509041415750371</v>
      </c>
      <c r="W171" s="9" t="str">
        <f>IF($B$7&gt;4,COMPLEX(0,$D171*$B$20),0)</f>
        <v>210.469746332769i</v>
      </c>
      <c r="X171" s="9" t="str">
        <f>IF($B$7&gt;4,COMPLEX(0,$D171/$B$20),0)</f>
        <v>3.52011084709283E-003i</v>
      </c>
      <c r="Y171" s="9" t="str">
        <f>IF($B$7&gt;4,COMPLEX($E171,0),1)</f>
        <v>-0.509041415750371</v>
      </c>
      <c r="Z171" s="9" t="str">
        <f>IF($B$7&gt;5,COMPLEX($E171,0),1)</f>
        <v>-0.509041415750371</v>
      </c>
      <c r="AA171" s="9" t="str">
        <f>IF($B$7&gt;5,COMPLEX(0,$D171*$B$21),0)</f>
        <v>251.682495498483i</v>
      </c>
      <c r="AB171" s="9" t="str">
        <f>IF($B$7&gt;5,COMPLEX(0,$D171/$B$21),0)</f>
        <v>2.94369632494098E-003i</v>
      </c>
      <c r="AC171" s="9" t="str">
        <f>IF($B$7&gt;5,COMPLEX($E171,0),1)</f>
        <v>-0.509041415750371</v>
      </c>
      <c r="AD171" s="9" t="str">
        <f>IF($B$7&gt;6,COMPLEX($E171,0),1)</f>
        <v>-0.509041415750371</v>
      </c>
      <c r="AE171" s="9" t="str">
        <f>IF($B$7&gt;6,COMPLEX(0,$D171*$B$22),0)</f>
        <v>300.965243908224i</v>
      </c>
      <c r="AF171" s="9" t="str">
        <f>IF($B$7&gt;6,COMPLEX(0,$D171/$B$22),0)</f>
        <v>2.46166908653672E-003i</v>
      </c>
      <c r="AG171" s="9" t="str">
        <f>IF($B$7&gt;6,COMPLEX($E171,0),1)</f>
        <v>-0.509041415750371</v>
      </c>
      <c r="AH171" s="9" t="str">
        <f>IF($B$7&gt;7,COMPLEX($E171,0),1)</f>
        <v>-0.509041415750371</v>
      </c>
      <c r="AI171" s="9" t="str">
        <f>IF($B$7&gt;7,COMPLEX(0,$D171*$B$23),0)</f>
        <v>359.898203732181i</v>
      </c>
      <c r="AJ171" s="9" t="str">
        <f>IF($B$7&gt;7,COMPLEX(0,$D171/$B$23),0)</f>
        <v>2.05857331147499E-003i</v>
      </c>
      <c r="AK171" s="9" t="str">
        <f>IF($B$7&gt;7,COMPLEX($E171,0),1)</f>
        <v>-0.509041415750371</v>
      </c>
      <c r="AL171" s="4" t="str">
        <f>IMSUM(IMPRODUCT(F171,J171),IMPRODUCT(G171,L171))</f>
        <v>-0.360435855841892</v>
      </c>
      <c r="AM171" s="5" t="str">
        <f>IMSUM(IMPRODUCT(F171,K171),IMPRODUCT(G171,M171))</f>
        <v>-115.049529490937i</v>
      </c>
      <c r="AN171" s="5" t="str">
        <f>IMSUM(IMPRODUCT(H171,J171),IMPRODUCT(I171,L171))</f>
        <v>-6.72813730009086E-003i</v>
      </c>
      <c r="AO171" s="5" t="str">
        <f>IMSUM(IMPRODUCT(H171,K171),IMPRODUCT(I171,M171))</f>
        <v>-0.626827119478462</v>
      </c>
      <c r="AP171" s="4" t="str">
        <f>IMSUM(IMPRODUCT(AL171,N171),IMPRODUCT(AM171,P171))</f>
        <v>0.76259583210906</v>
      </c>
      <c r="AQ171" s="5" t="str">
        <f>IMSUM(IMPRODUCT(AL171,O171),IMPRODUCT(AM171,Q171))</f>
        <v>5.5142901625439i</v>
      </c>
      <c r="AR171" s="5" t="str">
        <f>IMSUM(IMPRODUCT(AN171,N171),IMPRODUCT(AO171,P171))</f>
        <v>2.6967226307183E-004i</v>
      </c>
      <c r="AS171" s="5" t="str">
        <f>IMSUM(IMPRODUCT(AN171,O171),IMPRODUCT(AO171,Q171))</f>
        <v>1.30936061652883</v>
      </c>
      <c r="AT171" s="4" t="str">
        <f>IMSUM(IMPRODUCT(AP171,R171),IMPRODUCT(AQ171,T171))</f>
        <v>-0.411404687056446</v>
      </c>
      <c r="AU171" s="5" t="str">
        <f>IMSUM(IMPRODUCT(AP171,S171),IMPRODUCT(AQ171,U171))</f>
        <v>131.414090956545i</v>
      </c>
      <c r="AV171" s="5" t="str">
        <f>IMSUM(IMPRODUCT(AR171,R171),IMPRODUCT(AS171,T171))</f>
        <v>5.37434158579613E-003i</v>
      </c>
      <c r="AW171" s="5" t="str">
        <f>IMSUM(IMPRODUCT(AR171,S171),IMPRODUCT(AS171,U171))</f>
        <v>-0.713982594885575</v>
      </c>
      <c r="AX171" s="4" t="str">
        <f>IMSUM(IMPRODUCT(AT171,V171),IMPRODUCT(AU171,X171))</f>
        <v>-0.253170142691426</v>
      </c>
      <c r="AY171" s="5" t="str">
        <f>IMSUM(IMPRODUCT(AT171,W171),IMPRODUCT(AU171,Y171))</f>
        <v>-153.48345503495i</v>
      </c>
      <c r="AZ171" s="5" t="str">
        <f>IMSUM(IMPRODUCT(AV171,V171),IMPRODUCT(AW171,X171))</f>
        <v>-5.24906032645196E-003i</v>
      </c>
      <c r="BA171" s="5" t="str">
        <f>IMSUM(IMPRODUCT(AV171,W171),IMPRODUCT(AW171,Y171))</f>
        <v>-0.767689599346483</v>
      </c>
      <c r="BB171" s="4" t="str">
        <f>IMSUM(IMPRODUCT(AX171,Z171),IMPRODUCT(AY171,AB171))</f>
        <v>0.580682770386993</v>
      </c>
      <c r="BC171" s="5" t="str">
        <f>IMSUM(IMPRODUCT(AX171,AA171),IMPRODUCT(AY171,AC171))</f>
        <v>14.4109419469643i</v>
      </c>
      <c r="BD171" s="5" t="str">
        <f>IMSUM(IMPRODUCT(AZ171,Z171),IMPRODUCT(BA171,AB171))</f>
        <v>4.1214404764455E-004i</v>
      </c>
      <c r="BE171" s="5" t="str">
        <f>IMSUM(IMPRODUCT(AZ171,AA171),IMPRODUCT(BA171,AC171))</f>
        <v>1.71188240249168</v>
      </c>
      <c r="BF171" s="4" t="str">
        <f>IMSUM(IMPRODUCT(BB171,AD171),IMPRODUCT(BC171,AF171))</f>
        <v>-0.33106654983836</v>
      </c>
      <c r="BG171" s="5" t="str">
        <f>IMSUM(IMPRODUCT(BB171,AE171),IMPRODUCT(BC171,AG171))</f>
        <v>167.429565331846i</v>
      </c>
      <c r="BH171" s="5" t="str">
        <f>IMSUM(IMPRODUCT(BD171,AD171),IMPRODUCT(BE171,AF171))</f>
        <v>4.00428960049391E-003i</v>
      </c>
      <c r="BI171" s="5" t="str">
        <f>IMSUM(IMPRODUCT(BD171,AE171),IMPRODUCT(BE171,AG171))</f>
        <v>-0.995460075587176</v>
      </c>
      <c r="BJ171" s="4" t="str">
        <f>IMSUM(IMPRODUCT(BF171,AH171),IMPRODUCT(BG171,AJ171))</f>
        <v>-0.176139449506686</v>
      </c>
      <c r="BK171" s="5" t="str">
        <f>IMSUM(IMPRODUCT(BF171,AI171),IMPRODUCT(BG171,AK171))</f>
        <v>-204.378839577628i</v>
      </c>
      <c r="BL171" s="5" t="str">
        <f>IMSUM(IMPRODUCT(BH171,AH171),IMPRODUCT(BI171,AJ171))</f>
        <v>-4.08757679155255E-003i</v>
      </c>
      <c r="BM171" s="5" t="str">
        <f>IMSUM(IMPRODUCT(BH171,AI171),IMPRODUCT(BI171,AK171))</f>
        <v>-0.934406228241343</v>
      </c>
      <c r="BN171" s="4">
        <f t="shared" si="12"/>
        <v>500</v>
      </c>
      <c r="BO171" s="4">
        <v>1</v>
      </c>
      <c r="BP171" s="4" t="str">
        <f>IMSUM(IMPRODUCT($BJ171,$BN171),IMPRODUCT($BK171,$BO171))</f>
        <v>-88.069724753343-204.378839577628i</v>
      </c>
      <c r="BQ171" s="4" t="str">
        <f>IMSUM(IMPRODUCT($BL171,$BN171),IMPRODUCT($BM171,$BO171))</f>
        <v>-0.934406228241343-2.04378839577628i</v>
      </c>
      <c r="BR171" s="4" t="str">
        <f>IMDIV($BP171,$BQ171)</f>
        <v>99.0062543037922+2.1735791788168i</v>
      </c>
      <c r="BS171" s="4" t="str">
        <f>IMDIV(IMSUB($BQ$100,$BR171),IMSUM($BQ$100,$BR171))</f>
        <v>4.87366493616166E-003-1.09753961406275E-002i</v>
      </c>
      <c r="BT171" s="4">
        <f>IMABS($BS171)</f>
        <v>0.012008827184770069</v>
      </c>
      <c r="BU171" s="4">
        <f t="shared" si="13"/>
        <v>1.0243095839622767</v>
      </c>
      <c r="BV171" s="4">
        <f t="shared" si="14"/>
        <v>-0.0006263496204015032</v>
      </c>
    </row>
    <row r="172" spans="1:74" ht="12.75">
      <c r="A172" s="5">
        <v>69</v>
      </c>
      <c r="B172" s="5">
        <f t="shared" si="9"/>
        <v>13.600000000000001</v>
      </c>
      <c r="C172" s="4">
        <f t="shared" si="8"/>
        <v>2.1362830044410597</v>
      </c>
      <c r="D172" s="4">
        <f t="shared" si="10"/>
        <v>0.844327925502015</v>
      </c>
      <c r="E172" s="5">
        <f t="shared" si="11"/>
        <v>-0.5358267949789969</v>
      </c>
      <c r="F172" s="9" t="str">
        <f>IF($B$7&gt;0,COMPLEX($E172,0),1)</f>
        <v>-0.535826794978997</v>
      </c>
      <c r="G172" s="9" t="str">
        <f>IF($B$7&gt;0,COMPLEX(0,$D172*$B$16),0)</f>
        <v>100.96584569139i</v>
      </c>
      <c r="H172" s="9" t="str">
        <f>IF($B$7&gt;0,COMPLEX(0,$D172/$B$16),0)</f>
        <v>7.0607009816125E-003i</v>
      </c>
      <c r="I172" s="9" t="str">
        <f>IF($B$7&gt;0,COMPLEX($E172,0),1)</f>
        <v>-0.535826794978997</v>
      </c>
      <c r="J172" s="9" t="str">
        <f>IF($B$7&gt;1,COMPLEX($E172,0),1)</f>
        <v>-0.535826794978997</v>
      </c>
      <c r="K172" s="9" t="str">
        <f>IF($B$7&gt;1,COMPLEX(0,$D172*$B$17),0)</f>
        <v>120.736288452339i</v>
      </c>
      <c r="L172" s="9" t="str">
        <f>IF($B$7&gt;1,COMPLEX(0,$D172/$B$17),0)</f>
        <v>5.90451847510577E-003i</v>
      </c>
      <c r="M172" s="9" t="str">
        <f>IF($B$7&gt;1,COMPLEX($E172,0),1)</f>
        <v>-0.535826794978997</v>
      </c>
      <c r="N172" s="9" t="str">
        <f>IF($B$7&gt;2,COMPLEX($E172,0),1)</f>
        <v>-0.535826794978997</v>
      </c>
      <c r="O172" s="9" t="str">
        <f>IF($B$7&gt;2,COMPLEX(0,$D172*$B$18),0)</f>
        <v>144.378044371588i</v>
      </c>
      <c r="P172" s="9" t="str">
        <f>IF($B$7&gt;2,COMPLEX(0,$D172/$B$18),0)</f>
        <v>4.93765966207273E-003i</v>
      </c>
      <c r="Q172" s="9" t="str">
        <f>IF($B$7&gt;2,COMPLEX($E172,0),1)</f>
        <v>-0.535826794978997</v>
      </c>
      <c r="R172" s="9" t="str">
        <f>IF($B$7&gt;3,COMPLEX($E172,0),1)</f>
        <v>-0.535826794978997</v>
      </c>
      <c r="S172" s="9" t="str">
        <f>IF($B$7&gt;3,COMPLEX(0,$D172*$B$19),0)</f>
        <v>172.649167568149i</v>
      </c>
      <c r="T172" s="9" t="str">
        <f>IF($B$7&gt;3,COMPLEX(0,$D172/$B$19),0)</f>
        <v>4.12912298289039E-003i</v>
      </c>
      <c r="U172" s="9" t="str">
        <f>IF($B$7&gt;3,COMPLEX($E172,0),1)</f>
        <v>-0.535826794978997</v>
      </c>
      <c r="V172" s="9" t="str">
        <f>IF($B$7&gt;4,COMPLEX($E172,0),1)</f>
        <v>-0.535826794978997</v>
      </c>
      <c r="W172" s="9" t="str">
        <f>IF($B$7&gt;4,COMPLEX(0,$D172*$B$20),0)</f>
        <v>206.45614914452i</v>
      </c>
      <c r="X172" s="9" t="str">
        <f>IF($B$7&gt;4,COMPLEX(0,$D172/$B$20),0)</f>
        <v>3.45298335136297E-003i</v>
      </c>
      <c r="Y172" s="9" t="str">
        <f>IF($B$7&gt;4,COMPLEX($E172,0),1)</f>
        <v>-0.535826794978997</v>
      </c>
      <c r="Z172" s="9" t="str">
        <f>IF($B$7&gt;5,COMPLEX($E172,0),1)</f>
        <v>-0.535826794978997</v>
      </c>
      <c r="AA172" s="9" t="str">
        <f>IF($B$7&gt;5,COMPLEX(0,$D172*$B$21),0)</f>
        <v>246.882983103636i</v>
      </c>
      <c r="AB172" s="9" t="str">
        <f>IF($B$7&gt;5,COMPLEX(0,$D172/$B$21),0)</f>
        <v>2.88756088743176E-003i</v>
      </c>
      <c r="AC172" s="9" t="str">
        <f>IF($B$7&gt;5,COMPLEX($E172,0),1)</f>
        <v>-0.535826794978997</v>
      </c>
      <c r="AD172" s="9" t="str">
        <f>IF($B$7&gt;6,COMPLEX($E172,0),1)</f>
        <v>-0.535826794978997</v>
      </c>
      <c r="AE172" s="9" t="str">
        <f>IF($B$7&gt;6,COMPLEX(0,$D172*$B$22),0)</f>
        <v>295.225923755288i</v>
      </c>
      <c r="AF172" s="9" t="str">
        <f>IF($B$7&gt;6,COMPLEX(0,$D172/$B$22),0)</f>
        <v>2.41472576904678E-003i</v>
      </c>
      <c r="AG172" s="9" t="str">
        <f>IF($B$7&gt;6,COMPLEX($E172,0),1)</f>
        <v>-0.535826794978997</v>
      </c>
      <c r="AH172" s="9" t="str">
        <f>IF($B$7&gt;7,COMPLEX($E172,0),1)</f>
        <v>-0.535826794978997</v>
      </c>
      <c r="AI172" s="9" t="str">
        <f>IF($B$7&gt;7,COMPLEX(0,$D172*$B$23),0)</f>
        <v>353.035049080625i</v>
      </c>
      <c r="AJ172" s="9" t="str">
        <f>IF($B$7&gt;7,COMPLEX(0,$D172/$B$23),0)</f>
        <v>2.01931691382781E-003i</v>
      </c>
      <c r="AK172" s="9" t="str">
        <f>IF($B$7&gt;7,COMPLEX($E172,0),1)</f>
        <v>-0.535826794978997</v>
      </c>
      <c r="AL172" s="4" t="str">
        <f>IMSUM(IMPRODUCT(F172,J172),IMPRODUCT(G172,L172))</f>
        <v>-0.309044347022027</v>
      </c>
      <c r="AM172" s="5" t="str">
        <f>IMSUM(IMPRODUCT(F172,K172),IMPRODUCT(G172,M172))</f>
        <v>-118.793943978238i</v>
      </c>
      <c r="AN172" s="5" t="str">
        <f>IMSUM(IMPRODUCT(H172,J172),IMPRODUCT(I172,L172))</f>
        <v>-6.94711198769268E-003i</v>
      </c>
      <c r="AO172" s="5" t="str">
        <f>IMSUM(IMPRODUCT(H172,K172),IMPRODUCT(I172,M172))</f>
        <v>-0.565372476174216</v>
      </c>
      <c r="AP172" s="4" t="str">
        <f>IMSUM(IMPRODUCT(AL172,N172),IMPRODUCT(AM172,P172))</f>
        <v>0.752158307251063</v>
      </c>
      <c r="AQ172" s="5" t="str">
        <f>IMSUM(IMPRODUCT(AL172,O172),IMPRODUCT(AM172,Q172))</f>
        <v>19.0337598176391i</v>
      </c>
      <c r="AR172" s="5" t="str">
        <f>IMSUM(IMPRODUCT(AN172,N172),IMPRODUCT(AO172,P172))</f>
        <v>9.3083188107394E-004i</v>
      </c>
      <c r="AS172" s="5" t="str">
        <f>IMSUM(IMPRODUCT(AN172,O172),IMPRODUCT(AO172,Q172))</f>
        <v>1.30595216469125</v>
      </c>
      <c r="AT172" s="4" t="str">
        <f>IMSUM(IMPRODUCT(AP172,R172),IMPRODUCT(AQ172,T172))</f>
        <v>-0.481619310204994</v>
      </c>
      <c r="AU172" s="5" t="str">
        <f>IMSUM(IMPRODUCT(AP172,S172),IMPRODUCT(AQ172,U172))</f>
        <v>119.660707106878i</v>
      </c>
      <c r="AV172" s="5" t="str">
        <f>IMSUM(IMPRODUCT(AR172,R172),IMPRODUCT(AS172,T172))</f>
        <v>4.89367243428198E-003i</v>
      </c>
      <c r="AW172" s="5" t="str">
        <f>IMSUM(IMPRODUCT(AR172,S172),IMPRODUCT(AS172,U172))</f>
        <v>-0.860471512215706</v>
      </c>
      <c r="AX172" s="4" t="str">
        <f>IMSUM(IMPRODUCT(AT172,V172),IMPRODUCT(AU172,X172))</f>
        <v>-0.155121898065233</v>
      </c>
      <c r="AY172" s="5" t="str">
        <f>IMSUM(IMPRODUCT(AT172,W172),IMPRODUCT(AU172,Y172))</f>
        <v>-163.550681312562i</v>
      </c>
      <c r="AZ172" s="5" t="str">
        <f>IMSUM(IMPRODUCT(AV172,V172),IMPRODUCT(AW172,X172))</f>
        <v>-5.59335462214133E-003i</v>
      </c>
      <c r="BA172" s="5" t="str">
        <f>IMSUM(IMPRODUCT(AV172,W172),IMPRODUCT(AW172,Y172))</f>
        <v>-0.549265073395277</v>
      </c>
      <c r="BB172" s="4" t="str">
        <f>IMSUM(IMPRODUCT(AX172,Z172),IMPRODUCT(AY172,AB172))</f>
        <v>0.555381019942322</v>
      </c>
      <c r="BC172" s="5" t="str">
        <f>IMSUM(IMPRODUCT(AX172,AA172),IMPRODUCT(AY172,AC172))</f>
        <v>49.3378804452985i</v>
      </c>
      <c r="BD172" s="5" t="str">
        <f>IMSUM(IMPRODUCT(AZ172,Z172),IMPRODUCT(BA172,AB172))</f>
        <v>1.41103293759441E-003i</v>
      </c>
      <c r="BE172" s="5" t="str">
        <f>IMSUM(IMPRODUCT(AZ172,AA172),IMPRODUCT(BA172,AC172))</f>
        <v>1.67521501854205</v>
      </c>
      <c r="BF172" s="4" t="str">
        <f>IMSUM(IMPRODUCT(BB172,AD172),IMPRODUCT(BC172,AF172))</f>
        <v>-0.416725483209273</v>
      </c>
      <c r="BG172" s="5" t="str">
        <f>IMSUM(IMPRODUCT(BB172,AE172),IMPRODUCT(BC172,AG172))</f>
        <v>137.526316298565i</v>
      </c>
      <c r="BH172" s="5" t="str">
        <f>IMSUM(IMPRODUCT(BD172,AD172),IMPRODUCT(BE172,AF172))</f>
        <v>3.28911561740666E-003i</v>
      </c>
      <c r="BI172" s="5" t="str">
        <f>IMSUM(IMPRODUCT(BD172,AE172),IMPRODUCT(BE172,AG172))</f>
        <v>-1.31419859673652</v>
      </c>
      <c r="BJ172" s="4" t="str">
        <f>IMSUM(IMPRODUCT(BF172,AH172),IMPRODUCT(BG172,AJ172))</f>
        <v>-5.4416536544027E-002</v>
      </c>
      <c r="BK172" s="5" t="str">
        <f>IMSUM(IMPRODUCT(BF172,AI172),IMPRODUCT(BG172,AK172))</f>
        <v>-220.808986705461i</v>
      </c>
      <c r="BL172" s="5" t="str">
        <f>IMSUM(IMPRODUCT(BH172,AH172),IMPRODUCT(BI172,AJ172))</f>
        <v>-4.41617973410921E-003i</v>
      </c>
      <c r="BM172" s="5" t="str">
        <f>IMSUM(IMPRODUCT(BH172,AI172),IMPRODUCT(BI172,AK172))</f>
        <v>-0.456990271367785</v>
      </c>
      <c r="BN172" s="4">
        <f t="shared" si="12"/>
        <v>500</v>
      </c>
      <c r="BO172" s="4">
        <v>1</v>
      </c>
      <c r="BP172" s="4" t="str">
        <f>IMSUM(IMPRODUCT($BJ172,$BN172),IMPRODUCT($BK172,$BO172))</f>
        <v>-27.2082682720135-220.808986705461i</v>
      </c>
      <c r="BQ172" s="4" t="str">
        <f>IMSUM(IMPRODUCT($BL172,$BN172),IMPRODUCT($BM172,$BO172))</f>
        <v>-0.456990271367785-2.20808986705461i</v>
      </c>
      <c r="BR172" s="4" t="str">
        <f>IMDIV($BP172,$BQ172)</f>
        <v>98.3380675974426+8.03014052538417i</v>
      </c>
      <c r="BS172" s="4" t="str">
        <f>IMDIV(IMSUB($BQ$100,$BR172),IMSUM($BQ$100,$BR172))</f>
        <v>6.72905250451468E-003-4.07595771226639E-002i</v>
      </c>
      <c r="BT172" s="4">
        <f>IMABS($BS172)</f>
        <v>0.0413112971816052</v>
      </c>
      <c r="BU172" s="4">
        <f t="shared" si="13"/>
        <v>1.0861829226946276</v>
      </c>
      <c r="BV172" s="4">
        <f t="shared" si="14"/>
        <v>-0.007418102464622409</v>
      </c>
    </row>
    <row r="173" spans="1:74" ht="12.75">
      <c r="A173" s="5">
        <v>70</v>
      </c>
      <c r="B173" s="5">
        <f t="shared" si="9"/>
        <v>13.8</v>
      </c>
      <c r="C173" s="4">
        <f t="shared" si="8"/>
        <v>2.1676989309769574</v>
      </c>
      <c r="D173" s="4">
        <f t="shared" si="10"/>
        <v>0.8270805742745617</v>
      </c>
      <c r="E173" s="5">
        <f t="shared" si="11"/>
        <v>-0.5620833778521307</v>
      </c>
      <c r="F173" s="9" t="str">
        <f>IF($B$7&gt;0,COMPLEX($E173,0),1)</f>
        <v>-0.562083377852131</v>
      </c>
      <c r="G173" s="9" t="str">
        <f>IF($B$7&gt;0,COMPLEX(0,$D173*$B$16),0)</f>
        <v>98.9033847090879i</v>
      </c>
      <c r="H173" s="9" t="str">
        <f>IF($B$7&gt;0,COMPLEX(0,$D173/$B$16),0)</f>
        <v>6.91646982916129E-003i</v>
      </c>
      <c r="I173" s="9" t="str">
        <f>IF($B$7&gt;0,COMPLEX($E173,0),1)</f>
        <v>-0.562083377852131</v>
      </c>
      <c r="J173" s="9" t="str">
        <f>IF($B$7&gt;1,COMPLEX($E173,0),1)</f>
        <v>-0.562083377852131</v>
      </c>
      <c r="K173" s="9" t="str">
        <f>IF($B$7&gt;1,COMPLEX(0,$D173*$B$17),0)</f>
        <v>118.269970437809i</v>
      </c>
      <c r="L173" s="9" t="str">
        <f>IF($B$7&gt;1,COMPLEX(0,$D173/$B$17),0)</f>
        <v>5.78390502517328E-003i</v>
      </c>
      <c r="M173" s="9" t="str">
        <f>IF($B$7&gt;1,COMPLEX($E173,0),1)</f>
        <v>-0.562083377852131</v>
      </c>
      <c r="N173" s="9" t="str">
        <f>IF($B$7&gt;2,COMPLEX($E173,0),1)</f>
        <v>-0.562083377852131</v>
      </c>
      <c r="O173" s="9" t="str">
        <f>IF($B$7&gt;2,COMPLEX(0,$D173*$B$18),0)</f>
        <v>141.428788797305i</v>
      </c>
      <c r="P173" s="9" t="str">
        <f>IF($B$7&gt;2,COMPLEX(0,$D173/$B$18),0)</f>
        <v>4.83679654022021E-003i</v>
      </c>
      <c r="Q173" s="9" t="str">
        <f>IF($B$7&gt;2,COMPLEX($E173,0),1)</f>
        <v>-0.562083377852131</v>
      </c>
      <c r="R173" s="9" t="str">
        <f>IF($B$7&gt;3,COMPLEX($E173,0),1)</f>
        <v>-0.562083377852131</v>
      </c>
      <c r="S173" s="9" t="str">
        <f>IF($B$7&gt;3,COMPLEX(0,$D173*$B$19),0)</f>
        <v>169.122408897452i</v>
      </c>
      <c r="T173" s="9" t="str">
        <f>IF($B$7&gt;3,COMPLEX(0,$D173/$B$19),0)</f>
        <v>4.04477609325635E-003i</v>
      </c>
      <c r="U173" s="9" t="str">
        <f>IF($B$7&gt;3,COMPLEX($E173,0),1)</f>
        <v>-0.562083377852131</v>
      </c>
      <c r="V173" s="9" t="str">
        <f>IF($B$7&gt;4,COMPLEX($E173,0),1)</f>
        <v>-0.562083377852131</v>
      </c>
      <c r="W173" s="9" t="str">
        <f>IF($B$7&gt;4,COMPLEX(0,$D173*$B$20),0)</f>
        <v>202.238804662817i</v>
      </c>
      <c r="X173" s="9" t="str">
        <f>IF($B$7&gt;4,COMPLEX(0,$D173/$B$20),0)</f>
        <v>3.38244817794904E-003i</v>
      </c>
      <c r="Y173" s="9" t="str">
        <f>IF($B$7&gt;4,COMPLEX($E173,0),1)</f>
        <v>-0.562083377852131</v>
      </c>
      <c r="Z173" s="9" t="str">
        <f>IF($B$7&gt;5,COMPLEX($E173,0),1)</f>
        <v>-0.562083377852131</v>
      </c>
      <c r="AA173" s="9" t="str">
        <f>IF($B$7&gt;5,COMPLEX(0,$D173*$B$21),0)</f>
        <v>241.83982701101i</v>
      </c>
      <c r="AB173" s="9" t="str">
        <f>IF($B$7&gt;5,COMPLEX(0,$D173/$B$21),0)</f>
        <v>2.8285757759461E-003i</v>
      </c>
      <c r="AC173" s="9" t="str">
        <f>IF($B$7&gt;5,COMPLEX($E173,0),1)</f>
        <v>-0.562083377852131</v>
      </c>
      <c r="AD173" s="9" t="str">
        <f>IF($B$7&gt;6,COMPLEX($E173,0),1)</f>
        <v>-0.562083377852131</v>
      </c>
      <c r="AE173" s="9" t="str">
        <f>IF($B$7&gt;6,COMPLEX(0,$D173*$B$22),0)</f>
        <v>289.195251258664i</v>
      </c>
      <c r="AF173" s="9" t="str">
        <f>IF($B$7&gt;6,COMPLEX(0,$D173/$B$22),0)</f>
        <v>2.36539940875618E-003i</v>
      </c>
      <c r="AG173" s="9" t="str">
        <f>IF($B$7&gt;6,COMPLEX($E173,0),1)</f>
        <v>-0.562083377852131</v>
      </c>
      <c r="AH173" s="9" t="str">
        <f>IF($B$7&gt;7,COMPLEX($E173,0),1)</f>
        <v>-0.562083377852131</v>
      </c>
      <c r="AI173" s="9" t="str">
        <f>IF($B$7&gt;7,COMPLEX(0,$D173*$B$23),0)</f>
        <v>345.823491458065i</v>
      </c>
      <c r="AJ173" s="9" t="str">
        <f>IF($B$7&gt;7,COMPLEX(0,$D173/$B$23),0)</f>
        <v>1.97806769418176E-003i</v>
      </c>
      <c r="AK173" s="9" t="str">
        <f>IF($B$7&gt;7,COMPLEX($E173,0),1)</f>
        <v>-0.562083377852131</v>
      </c>
      <c r="AL173" s="4" t="str">
        <f>IMSUM(IMPRODUCT(F173,J173),IMPRODUCT(G173,L173))</f>
        <v>-0.256110060167879</v>
      </c>
      <c r="AM173" s="5" t="str">
        <f>IMSUM(IMPRODUCT(F173,K173),IMPRODUCT(G173,M173))</f>
        <v>-122.069533040448i</v>
      </c>
      <c r="AN173" s="5" t="str">
        <f>IMSUM(IMPRODUCT(H173,J173),IMPRODUCT(I173,L173))</f>
        <v>-7.13866959811264E-003i</v>
      </c>
      <c r="AO173" s="5" t="str">
        <f>IMSUM(IMPRODUCT(H173,K173),IMPRODUCT(I173,M173))</f>
        <v>-0.502072958571243</v>
      </c>
      <c r="AP173" s="4" t="str">
        <f>IMSUM(IMPRODUCT(AL173,N173),IMPRODUCT(AM173,P173))</f>
        <v>0.734380702797409</v>
      </c>
      <c r="AQ173" s="5" t="str">
        <f>IMSUM(IMPRODUCT(AL173,O173),IMPRODUCT(AM173,Q173))</f>
        <v>32.3919198558593i</v>
      </c>
      <c r="AR173" s="5" t="str">
        <f>IMSUM(IMPRODUCT(AN173,N173),IMPRODUCT(AO173,P173))</f>
        <v>1.58410277212196E-003i</v>
      </c>
      <c r="AS173" s="5" t="str">
        <f>IMSUM(IMPRODUCT(AN173,O173),IMPRODUCT(AO173,Q173))</f>
        <v>1.29182025936715</v>
      </c>
      <c r="AT173" s="4" t="str">
        <f>IMSUM(IMPRODUCT(AP173,R173),IMPRODUCT(AQ173,T173))</f>
        <v>-0.543801249105445</v>
      </c>
      <c r="AU173" s="5" t="str">
        <f>IMSUM(IMPRODUCT(AP173,S173),IMPRODUCT(AQ173,U173))</f>
        <v>105.993273777205i</v>
      </c>
      <c r="AV173" s="5" t="str">
        <f>IMSUM(IMPRODUCT(AR173,R173),IMPRODUCT(AS173,T173))</f>
        <v>4.33472586485323E-003i</v>
      </c>
      <c r="AW173" s="5" t="str">
        <f>IMSUM(IMPRODUCT(AR173,S173),IMPRODUCT(AS173,U173))</f>
        <v>-0.994017971725301</v>
      </c>
      <c r="AX173" s="4" t="str">
        <f>IMSUM(IMPRODUCT(AT173,V173),IMPRODUCT(AU173,X173))</f>
        <v>-5.2855112785164E-002</v>
      </c>
      <c r="AY173" s="5" t="str">
        <f>IMSUM(IMPRODUCT(AT173,W173),IMPRODUCT(AU173,Y173))</f>
        <v>-169.554771947529i</v>
      </c>
      <c r="AZ173" s="5" t="str">
        <f>IMSUM(IMPRODUCT(AV173,V173),IMPRODUCT(AW173,X173))</f>
        <v>-5.79869163349054E-003i</v>
      </c>
      <c r="BA173" s="5" t="str">
        <f>IMSUM(IMPRODUCT(AV173,W173),IMPRODUCT(AW173,Y173))</f>
        <v>-0.317928798255832</v>
      </c>
      <c r="BB173" s="4" t="str">
        <f>IMSUM(IMPRODUCT(AX173,Z173),IMPRODUCT(AY173,AB173))</f>
        <v>0.509307500957886</v>
      </c>
      <c r="BC173" s="5" t="str">
        <f>IMSUM(IMPRODUCT(AX173,AA173),IMPRODUCT(AY173,AC173))</f>
        <v>82.5214476146033i</v>
      </c>
      <c r="BD173" s="5" t="str">
        <f>IMSUM(IMPRODUCT(AZ173,Z173),IMPRODUCT(BA173,AB173))</f>
        <v>2.36006248325315E-003i</v>
      </c>
      <c r="BE173" s="5" t="str">
        <f>IMSUM(IMPRODUCT(AZ173,AA173),IMPRODUCT(BA173,AC173))</f>
        <v>1.58105707437365</v>
      </c>
      <c r="BF173" s="4" t="str">
        <f>IMSUM(IMPRODUCT(BB173,AD173),IMPRODUCT(BC173,AF173))</f>
        <v>-0.481469463901123</v>
      </c>
      <c r="BG173" s="5" t="str">
        <f>IMSUM(IMPRODUCT(BB173,AE173),IMPRODUCT(BC173,AG173))</f>
        <v>100.905376686974i</v>
      </c>
      <c r="BH173" s="5" t="str">
        <f>IMSUM(IMPRODUCT(BD173,AD173),IMPRODUCT(BE173,AF173))</f>
        <v>2.41327957640419E-003i</v>
      </c>
      <c r="BI173" s="5" t="str">
        <f>IMSUM(IMPRODUCT(BD173,AE173),IMPRODUCT(BE173,AG173))</f>
        <v>-1.57120476377149</v>
      </c>
      <c r="BJ173" s="4" t="str">
        <f>IMSUM(IMPRODUCT(BF173,AH173),IMPRODUCT(BG173,AJ173))</f>
        <v>7.1028316808453E-002</v>
      </c>
      <c r="BK173" s="5" t="str">
        <f>IMSUM(IMPRODUCT(BF173,AI173),IMPRODUCT(BG173,AK173))</f>
        <v>-223.220686008385i</v>
      </c>
      <c r="BL173" s="5" t="str">
        <f>IMSUM(IMPRODUCT(BH173,AH173),IMPRODUCT(BI173,AJ173))</f>
        <v>-4.4644137201677E-003i</v>
      </c>
      <c r="BM173" s="5" t="str">
        <f>IMSUM(IMPRODUCT(BH173,AI173),IMPRODUCT(BI173,AK173))</f>
        <v>4.8579311941502E-002</v>
      </c>
      <c r="BN173" s="4">
        <f t="shared" si="12"/>
        <v>500</v>
      </c>
      <c r="BO173" s="4">
        <v>1</v>
      </c>
      <c r="BP173" s="4" t="str">
        <f>IMSUM(IMPRODUCT($BJ173,$BN173),IMPRODUCT($BK173,$BO173))</f>
        <v>35.5141584042265-223.220686008385i</v>
      </c>
      <c r="BQ173" s="4" t="str">
        <f>IMSUM(IMPRODUCT($BL173,$BN173),IMPRODUCT($BM173,$BO173))</f>
        <v>4.8579311941502E-002-2.23220686008385i</v>
      </c>
      <c r="BR173" s="4" t="str">
        <f>IMDIV($BP173,$BQ173)</f>
        <v>100.298741491484+13.7270945188389i</v>
      </c>
      <c r="BS173" s="4" t="str">
        <f>IMDIV(IMSUB($BQ$100,$BR173),IMSUM($BQ$100,$BR173))</f>
        <v>-6.15933690286092E-003-6.81109857077159E-002i</v>
      </c>
      <c r="BT173" s="4">
        <f>IMABS($BS173)</f>
        <v>0.06838891580628854</v>
      </c>
      <c r="BU173" s="4">
        <f t="shared" si="13"/>
        <v>1.1468185962288708</v>
      </c>
      <c r="BV173" s="4">
        <f t="shared" si="14"/>
        <v>-0.020359792182768174</v>
      </c>
    </row>
    <row r="174" spans="1:74" ht="12.75">
      <c r="A174" s="5">
        <v>71</v>
      </c>
      <c r="B174" s="5">
        <f t="shared" si="9"/>
        <v>14</v>
      </c>
      <c r="C174" s="4">
        <f t="shared" si="8"/>
        <v>2.199114857512855</v>
      </c>
      <c r="D174" s="4">
        <f t="shared" si="10"/>
        <v>0.8090169943749475</v>
      </c>
      <c r="E174" s="5">
        <f t="shared" si="11"/>
        <v>-0.587785252292473</v>
      </c>
      <c r="F174" s="9" t="str">
        <f>IF($B$7&gt;0,COMPLEX($E174,0),1)</f>
        <v>-0.587785252292473</v>
      </c>
      <c r="G174" s="9" t="str">
        <f>IF($B$7&gt;0,COMPLEX(0,$D174*$B$16),0)</f>
        <v>96.743318026828i</v>
      </c>
      <c r="H174" s="9" t="str">
        <f>IF($B$7&gt;0,COMPLEX(0,$D174/$B$16),0)</f>
        <v>6.76541295602422E-003i</v>
      </c>
      <c r="I174" s="9" t="str">
        <f>IF($B$7&gt;0,COMPLEX($E174,0),1)</f>
        <v>-0.587785252292473</v>
      </c>
      <c r="J174" s="9" t="str">
        <f>IF($B$7&gt;1,COMPLEX($E174,0),1)</f>
        <v>-0.587785252292473</v>
      </c>
      <c r="K174" s="9" t="str">
        <f>IF($B$7&gt;1,COMPLEX(0,$D174*$B$17),0)</f>
        <v>115.686934241363i</v>
      </c>
      <c r="L174" s="9" t="str">
        <f>IF($B$7&gt;1,COMPLEX(0,$D174/$B$17),0)</f>
        <v>5.65758355928027E-003i</v>
      </c>
      <c r="M174" s="9" t="str">
        <f>IF($B$7&gt;1,COMPLEX($E174,0),1)</f>
        <v>-0.587785252292473</v>
      </c>
      <c r="N174" s="9" t="str">
        <f>IF($B$7&gt;2,COMPLEX($E174,0),1)</f>
        <v>-0.587785252292473</v>
      </c>
      <c r="O174" s="9" t="str">
        <f>IF($B$7&gt;2,COMPLEX(0,$D174*$B$18),0)</f>
        <v>138.339960083384i</v>
      </c>
      <c r="P174" s="9" t="str">
        <f>IF($B$7&gt;2,COMPLEX(0,$D174/$B$18),0)</f>
        <v>4.73116008413601E-003i</v>
      </c>
      <c r="Q174" s="9" t="str">
        <f>IF($B$7&gt;2,COMPLEX($E174,0),1)</f>
        <v>-0.587785252292473</v>
      </c>
      <c r="R174" s="9" t="str">
        <f>IF($B$7&gt;3,COMPLEX($E174,0),1)</f>
        <v>-0.587785252292473</v>
      </c>
      <c r="S174" s="9" t="str">
        <f>IF($B$7&gt;3,COMPLEX(0,$D174*$B$19),0)</f>
        <v>165.42874682757i</v>
      </c>
      <c r="T174" s="9" t="str">
        <f>IF($B$7&gt;3,COMPLEX(0,$D174/$B$19),0)</f>
        <v>3.95643749794999E-003i</v>
      </c>
      <c r="U174" s="9" t="str">
        <f>IF($B$7&gt;3,COMPLEX($E174,0),1)</f>
        <v>-0.587785252292473</v>
      </c>
      <c r="V174" s="9" t="str">
        <f>IF($B$7&gt;4,COMPLEX($E174,0),1)</f>
        <v>-0.587785252292473</v>
      </c>
      <c r="W174" s="9" t="str">
        <f>IF($B$7&gt;4,COMPLEX(0,$D174*$B$20),0)</f>
        <v>197.8218748975i</v>
      </c>
      <c r="X174" s="9" t="str">
        <f>IF($B$7&gt;4,COMPLEX(0,$D174/$B$20),0)</f>
        <v>3.3085749365514E-003i</v>
      </c>
      <c r="Y174" s="9" t="str">
        <f>IF($B$7&gt;4,COMPLEX($E174,0),1)</f>
        <v>-0.587785252292473</v>
      </c>
      <c r="Z174" s="9" t="str">
        <f>IF($B$7&gt;5,COMPLEX($E174,0),1)</f>
        <v>-0.587785252292473</v>
      </c>
      <c r="AA174" s="9" t="str">
        <f>IF($B$7&gt;5,COMPLEX(0,$D174*$B$21),0)</f>
        <v>236.5580042068i</v>
      </c>
      <c r="AB174" s="9" t="str">
        <f>IF($B$7&gt;5,COMPLEX(0,$D174/$B$21),0)</f>
        <v>2.76679920166767E-003i</v>
      </c>
      <c r="AC174" s="9" t="str">
        <f>IF($B$7&gt;5,COMPLEX($E174,0),1)</f>
        <v>-0.587785252292473</v>
      </c>
      <c r="AD174" s="9" t="str">
        <f>IF($B$7&gt;6,COMPLEX($E174,0),1)</f>
        <v>-0.587785252292473</v>
      </c>
      <c r="AE174" s="9" t="str">
        <f>IF($B$7&gt;6,COMPLEX(0,$D174*$B$22),0)</f>
        <v>282.879177964014i</v>
      </c>
      <c r="AF174" s="9" t="str">
        <f>IF($B$7&gt;6,COMPLEX(0,$D174/$B$22),0)</f>
        <v>2.31373868482726E-003i</v>
      </c>
      <c r="AG174" s="9" t="str">
        <f>IF($B$7&gt;6,COMPLEX($E174,0),1)</f>
        <v>-0.587785252292473</v>
      </c>
      <c r="AH174" s="9" t="str">
        <f>IF($B$7&gt;7,COMPLEX($E174,0),1)</f>
        <v>-0.587785252292473</v>
      </c>
      <c r="AI174" s="9" t="str">
        <f>IF($B$7&gt;7,COMPLEX(0,$D174*$B$23),0)</f>
        <v>338.270647801211i</v>
      </c>
      <c r="AJ174" s="9" t="str">
        <f>IF($B$7&gt;7,COMPLEX(0,$D174/$B$23),0)</f>
        <v>1.93486636053656E-003i</v>
      </c>
      <c r="AK174" s="9" t="str">
        <f>IF($B$7&gt;7,COMPLEX($E174,0),1)</f>
        <v>-0.587785252292473</v>
      </c>
      <c r="AL174" s="4" t="str">
        <f>IMSUM(IMPRODUCT(F174,J174),IMPRODUCT(G174,L174))</f>
        <v>-0.201841902726279</v>
      </c>
      <c r="AM174" s="5" t="str">
        <f>IMSUM(IMPRODUCT(F174,K174),IMPRODUCT(G174,M174))</f>
        <v>-124.863369424012i</v>
      </c>
      <c r="AN174" s="5" t="str">
        <f>IMSUM(IMPRODUCT(H174,J174),IMPRODUCT(I174,L174))</f>
        <v>-7.30205414097676E-003i</v>
      </c>
      <c r="AO174" s="5" t="str">
        <f>IMSUM(IMPRODUCT(H174,K174),IMPRODUCT(I174,M174))</f>
        <v>-0.437178380946713</v>
      </c>
      <c r="AP174" s="4" t="str">
        <f>IMSUM(IMPRODUCT(AL174,N174),IMPRODUCT(AM174,P174))</f>
        <v>0.709388283106773</v>
      </c>
      <c r="AQ174" s="5" t="str">
        <f>IMSUM(IMPRODUCT(AL174,O174),IMPRODUCT(AM174,Q174))</f>
        <v>45.4700463326735i</v>
      </c>
      <c r="AR174" s="5" t="str">
        <f>IMSUM(IMPRODUCT(AN174,N174),IMPRODUCT(AO174,P174))</f>
        <v>2.22367882992502E-003i</v>
      </c>
      <c r="AS174" s="5" t="str">
        <f>IMSUM(IMPRODUCT(AN174,O174),IMPRODUCT(AO174,Q174))</f>
        <v>1.26713288333101</v>
      </c>
      <c r="AT174" s="4" t="str">
        <f>IMSUM(IMPRODUCT(AP174,R174),IMPRODUCT(AQ174,T174))</f>
        <v>-0.596867367303352</v>
      </c>
      <c r="AU174" s="5" t="str">
        <f>IMSUM(IMPRODUCT(AP174,S174),IMPRODUCT(AQ174,U174))</f>
        <v>90.6265920331141i</v>
      </c>
      <c r="AV174" s="5" t="str">
        <f>IMSUM(IMPRODUCT(AR174,R174),IMPRODUCT(AS174,T174))</f>
        <v>3.70628643243139E-003i</v>
      </c>
      <c r="AW174" s="5" t="str">
        <f>IMSUM(IMPRODUCT(AR174,S174),IMPRODUCT(AS174,U174))</f>
        <v>-1.1126624236983</v>
      </c>
      <c r="AX174" s="4" t="str">
        <f>IMSUM(IMPRODUCT(AT174,V174),IMPRODUCT(AU174,X174))</f>
        <v>5.0984965089715E-002</v>
      </c>
      <c r="AY174" s="5" t="str">
        <f>IMSUM(IMPRODUCT(AT174,W174),IMPRODUCT(AU174,Y174))</f>
        <v>-171.342395927675i</v>
      </c>
      <c r="AZ174" s="5" t="str">
        <f>IMSUM(IMPRODUCT(AV174,V174),IMPRODUCT(AW174,X174))</f>
        <v>-5.85982751364558E-003i</v>
      </c>
      <c r="BA174" s="5" t="str">
        <f>IMSUM(IMPRODUCT(AV174,W174),IMPRODUCT(AW174,Y174))</f>
        <v>-7.9177967540884E-002</v>
      </c>
      <c r="BB174" s="4" t="str">
        <f>IMSUM(IMPRODUCT(AX174,Z174),IMPRODUCT(AY174,AB174))</f>
        <v>0.444101793696136</v>
      </c>
      <c r="BC174" s="5" t="str">
        <f>IMSUM(IMPRODUCT(AX174,AA174),IMPRODUCT(AY174,AC174))</f>
        <v>112.773435004921i</v>
      </c>
      <c r="BD174" s="5" t="str">
        <f>IMSUM(IMPRODUCT(AZ174,Z174),IMPRODUCT(BA174,AB174))</f>
        <v>3.22525065611675E-003i</v>
      </c>
      <c r="BE174" s="5" t="str">
        <f>IMSUM(IMPRODUCT(AZ174,AA174),IMPRODUCT(BA174,AC174))</f>
        <v>1.43272874325111</v>
      </c>
      <c r="BF174" s="4" t="str">
        <f>IMSUM(IMPRODUCT(BB174,AD174),IMPRODUCT(BC174,AF174))</f>
        <v>-0.521964744042961</v>
      </c>
      <c r="BG174" s="5" t="str">
        <f>IMSUM(IMPRODUCT(BB174,AE174),IMPRODUCT(BC174,AG174))</f>
        <v>59.3405883868507i</v>
      </c>
      <c r="BH174" s="5" t="str">
        <f>IMSUM(IMPRODUCT(BD174,AD174),IMPRODUCT(BE174,AF174))</f>
        <v>1.41920514751199E-003i</v>
      </c>
      <c r="BI174" s="5" t="str">
        <f>IMSUM(IMPRODUCT(BD174,AE174),IMPRODUCT(BE174,AG174))</f>
        <v>-1.75449308014873</v>
      </c>
      <c r="BJ174" s="4" t="str">
        <f>IMSUM(IMPRODUCT(BF174,AH174),IMPRODUCT(BG174,AJ174))</f>
        <v>0.191987070480904</v>
      </c>
      <c r="BK174" s="5" t="str">
        <f>IMSUM(IMPRODUCT(BF174,AI174),IMPRODUCT(BG174,AK174))</f>
        <v>-211.444874812955i</v>
      </c>
      <c r="BL174" s="5" t="str">
        <f>IMSUM(IMPRODUCT(BH174,AH174),IMPRODUCT(BI174,AJ174))</f>
        <v>-4.22889749625906E-003i</v>
      </c>
      <c r="BM174" s="5" t="str">
        <f>IMSUM(IMPRODUCT(BH174,AI174),IMPRODUCT(BI174,AK174))</f>
        <v>0.551189713148926</v>
      </c>
      <c r="BN174" s="4">
        <f t="shared" si="12"/>
        <v>500</v>
      </c>
      <c r="BO174" s="4">
        <v>1</v>
      </c>
      <c r="BP174" s="4" t="str">
        <f>IMSUM(IMPRODUCT($BJ174,$BN174),IMPRODUCT($BK174,$BO174))</f>
        <v>95.993535240452-211.444874812955i</v>
      </c>
      <c r="BQ174" s="4" t="str">
        <f>IMSUM(IMPRODUCT($BL174,$BN174),IMPRODUCT($BM174,$BO174))</f>
        <v>0.551189713148926-2.11444874812953i</v>
      </c>
      <c r="BR174" s="4" t="str">
        <f>IMDIV($BP174,$BQ174)</f>
        <v>104.718541927049+18.1010545600434i</v>
      </c>
      <c r="BS174" s="4" t="str">
        <f>IMDIV(IMSUB($BQ$100,$BR174),IMSUM($BQ$100,$BR174))</f>
        <v>-3.06274381506962E-002-8.57111694225333E-002i</v>
      </c>
      <c r="BT174" s="4">
        <f>IMABS($BS174)</f>
        <v>0.09101892402930792</v>
      </c>
      <c r="BU174" s="4">
        <f t="shared" si="13"/>
        <v>1.200265828267348</v>
      </c>
      <c r="BV174" s="4">
        <f t="shared" si="14"/>
        <v>-0.0361287462464118</v>
      </c>
    </row>
    <row r="175" spans="1:74" ht="12.75">
      <c r="A175" s="5">
        <v>72</v>
      </c>
      <c r="B175" s="5">
        <f t="shared" si="9"/>
        <v>14.200000000000001</v>
      </c>
      <c r="C175" s="4">
        <f t="shared" si="8"/>
        <v>2.2305307840487534</v>
      </c>
      <c r="D175" s="4">
        <f t="shared" si="10"/>
        <v>0.7901550123756902</v>
      </c>
      <c r="E175" s="5">
        <f t="shared" si="11"/>
        <v>-0.6129070536529766</v>
      </c>
      <c r="F175" s="9" t="str">
        <f>IF($B$7&gt;0,COMPLEX($E175,0),1)</f>
        <v>-0.612907053652977</v>
      </c>
      <c r="G175" s="9" t="str">
        <f>IF($B$7&gt;0,COMPLEX(0,$D175*$B$16),0)</f>
        <v>94.4877773696378i</v>
      </c>
      <c r="H175" s="9" t="str">
        <f>IF($B$7&gt;0,COMPLEX(0,$D175/$B$16),0)</f>
        <v>6.60767943709776E-003i</v>
      </c>
      <c r="I175" s="9" t="str">
        <f>IF($B$7&gt;0,COMPLEX($E175,0),1)</f>
        <v>-0.612907053652977</v>
      </c>
      <c r="J175" s="9" t="str">
        <f>IF($B$7&gt;1,COMPLEX($E175,0),1)</f>
        <v>-0.612907053652977</v>
      </c>
      <c r="K175" s="9" t="str">
        <f>IF($B$7&gt;1,COMPLEX(0,$D175*$B$17),0)</f>
        <v>112.989729007874i</v>
      </c>
      <c r="L175" s="9" t="str">
        <f>IF($B$7&gt;1,COMPLEX(0,$D175/$B$17),0)</f>
        <v>5.52567874146258E-003i</v>
      </c>
      <c r="M175" s="9" t="str">
        <f>IF($B$7&gt;1,COMPLEX($E175,0),1)</f>
        <v>-0.612907053652977</v>
      </c>
      <c r="N175" s="9" t="str">
        <f>IF($B$7&gt;2,COMPLEX($E175,0),1)</f>
        <v>-0.612907053652977</v>
      </c>
      <c r="O175" s="9" t="str">
        <f>IF($B$7&gt;2,COMPLEX(0,$D175*$B$18),0)</f>
        <v>135.114606530846i</v>
      </c>
      <c r="P175" s="9" t="str">
        <f>IF($B$7&gt;2,COMPLEX(0,$D175/$B$18),0)</f>
        <v>4.62085454424865E-003i</v>
      </c>
      <c r="Q175" s="9" t="str">
        <f>IF($B$7&gt;2,COMPLEX($E175,0),1)</f>
        <v>-0.612907053652977</v>
      </c>
      <c r="R175" s="9" t="str">
        <f>IF($B$7&gt;3,COMPLEX($E175,0),1)</f>
        <v>-0.612907053652977</v>
      </c>
      <c r="S175" s="9" t="str">
        <f>IF($B$7&gt;3,COMPLEX(0,$D175*$B$19),0)</f>
        <v>161.571826557023i</v>
      </c>
      <c r="T175" s="9" t="str">
        <f>IF($B$7&gt;3,COMPLEX(0,$D175/$B$19),0)</f>
        <v>3.86419437649965E-003i</v>
      </c>
      <c r="U175" s="9" t="str">
        <f>IF($B$7&gt;3,COMPLEX($E175,0),1)</f>
        <v>-0.612907053652977</v>
      </c>
      <c r="V175" s="9" t="str">
        <f>IF($B$7&gt;4,COMPLEX($E175,0),1)</f>
        <v>-0.612907053652977</v>
      </c>
      <c r="W175" s="9" t="str">
        <f>IF($B$7&gt;4,COMPLEX(0,$D175*$B$20),0)</f>
        <v>193.209718824983i</v>
      </c>
      <c r="X175" s="9" t="str">
        <f>IF($B$7&gt;4,COMPLEX(0,$D175/$B$20),0)</f>
        <v>3.23143653114047E-003i</v>
      </c>
      <c r="Y175" s="9" t="str">
        <f>IF($B$7&gt;4,COMPLEX($E175,0),1)</f>
        <v>-0.612907053652977</v>
      </c>
      <c r="Z175" s="9" t="str">
        <f>IF($B$7&gt;5,COMPLEX($E175,0),1)</f>
        <v>-0.612907053652977</v>
      </c>
      <c r="AA175" s="9" t="str">
        <f>IF($B$7&gt;5,COMPLEX(0,$D175*$B$21),0)</f>
        <v>231.042727212432i</v>
      </c>
      <c r="AB175" s="9" t="str">
        <f>IF($B$7&gt;5,COMPLEX(0,$D175/$B$21),0)</f>
        <v>2.70229213061692E-003i</v>
      </c>
      <c r="AC175" s="9" t="str">
        <f>IF($B$7&gt;5,COMPLEX($E175,0),1)</f>
        <v>-0.612907053652977</v>
      </c>
      <c r="AD175" s="9" t="str">
        <f>IF($B$7&gt;6,COMPLEX($E175,0),1)</f>
        <v>-0.612907053652977</v>
      </c>
      <c r="AE175" s="9" t="str">
        <f>IF($B$7&gt;6,COMPLEX(0,$D175*$B$22),0)</f>
        <v>276.283937073129i</v>
      </c>
      <c r="AF175" s="9" t="str">
        <f>IF($B$7&gt;6,COMPLEX(0,$D175/$B$22),0)</f>
        <v>2.25979458015748E-003i</v>
      </c>
      <c r="AG175" s="9" t="str">
        <f>IF($B$7&gt;6,COMPLEX($E175,0),1)</f>
        <v>-0.612907053652977</v>
      </c>
      <c r="AH175" s="9" t="str">
        <f>IF($B$7&gt;7,COMPLEX($E175,0),1)</f>
        <v>-0.612907053652977</v>
      </c>
      <c r="AI175" s="9" t="str">
        <f>IF($B$7&gt;7,COMPLEX(0,$D175*$B$23),0)</f>
        <v>330.383971854888i</v>
      </c>
      <c r="AJ175" s="9" t="str">
        <f>IF($B$7&gt;7,COMPLEX(0,$D175/$B$23),0)</f>
        <v>1.88975554739276E-003i</v>
      </c>
      <c r="AK175" s="9" t="str">
        <f>IF($B$7&gt;7,COMPLEX($E175,0),1)</f>
        <v>-0.612907053652977</v>
      </c>
      <c r="AL175" s="4" t="str">
        <f>IMSUM(IMPRODUCT(F175,J175),IMPRODUCT(G175,L175))</f>
        <v>-0.146454046321884</v>
      </c>
      <c r="AM175" s="5" t="str">
        <f>IMSUM(IMPRODUCT(F175,K175),IMPRODUCT(G175,M175))</f>
        <v>-127.164427133108i</v>
      </c>
      <c r="AN175" s="5" t="str">
        <f>IMSUM(IMPRODUCT(H175,J175),IMPRODUCT(I175,L175))</f>
        <v>-7.43662081213767E-003i</v>
      </c>
      <c r="AO175" s="5" t="str">
        <f>IMSUM(IMPRODUCT(H175,K175),IMPRODUCT(I175,M175))</f>
        <v>-0.370944852551004</v>
      </c>
      <c r="AP175" s="4" t="str">
        <f>IMSUM(IMPRODUCT(AL175,N175),IMPRODUCT(AM175,P175))</f>
        <v>0.677371039011502</v>
      </c>
      <c r="AQ175" s="5" t="str">
        <f>IMSUM(IMPRODUCT(AL175,O175),IMPRODUCT(AM175,Q175))</f>
        <v>58.1518935199902i</v>
      </c>
      <c r="AR175" s="5" t="str">
        <f>IMSUM(IMPRODUCT(AN175,N175),IMPRODUCT(AO175,P175))</f>
        <v>2.84387514352576E-003i</v>
      </c>
      <c r="AS175" s="5" t="str">
        <f>IMSUM(IMPRODUCT(AN175,O175),IMPRODUCT(AO175,Q175))</f>
        <v>1.23215081159585</v>
      </c>
      <c r="AT175" s="4" t="str">
        <f>IMSUM(IMPRODUCT(AP175,R175),IMPRODUCT(AQ175,T175))</f>
        <v>-0.639875707673148</v>
      </c>
      <c r="AU175" s="5" t="str">
        <f>IMSUM(IMPRODUCT(AP175,S175),IMPRODUCT(AQ175,U175))</f>
        <v>73.8023703082382i</v>
      </c>
      <c r="AV175" s="5" t="str">
        <f>IMSUM(IMPRODUCT(AR175,R175),IMPRODUCT(AS175,T175))</f>
        <v>3.01823910199285E-003i</v>
      </c>
      <c r="AW175" s="5" t="str">
        <f>IMSUM(IMPRODUCT(AR175,S175),IMPRODUCT(AS175,U175))</f>
        <v>-1.21468402503091</v>
      </c>
      <c r="AX175" s="4" t="str">
        <f>IMSUM(IMPRODUCT(AT175,V175),IMPRODUCT(AU175,X175))</f>
        <v>0.153696659195265</v>
      </c>
      <c r="AY175" s="5" t="str">
        <f>IMSUM(IMPRODUCT(AT175,W175),IMPRODUCT(AU175,Y175))</f>
        <v>-168.864198900694i</v>
      </c>
      <c r="AZ175" s="5" t="str">
        <f>IMSUM(IMPRODUCT(AV175,V175),IMPRODUCT(AW175,X175))</f>
        <v>-5.77507436750028E-003i</v>
      </c>
      <c r="BA175" s="5" t="str">
        <f>IMSUM(IMPRODUCT(AV175,W175),IMPRODUCT(AW175,Y175))</f>
        <v>0.161335278658426</v>
      </c>
      <c r="BB175" s="4" t="str">
        <f>IMSUM(IMPRODUCT(AX175,Z175),IMPRODUCT(AY175,AB175))</f>
        <v>0.3621186292886</v>
      </c>
      <c r="BC175" s="5" t="str">
        <f>IMSUM(IMPRODUCT(AX175,AA175),IMPRODUCT(AY175,AC175))</f>
        <v>139.008553919609i</v>
      </c>
      <c r="BD175" s="5" t="str">
        <f>IMSUM(IMPRODUCT(AZ175,Z175),IMPRODUCT(BA175,AB175))</f>
        <v>3.97555886912098E-003i</v>
      </c>
      <c r="BE175" s="5" t="str">
        <f>IMSUM(IMPRODUCT(AZ175,AA175),IMPRODUCT(BA175,AC175))</f>
        <v>1.23540540142906</v>
      </c>
      <c r="BF175" s="4" t="str">
        <f>IMSUM(IMPRODUCT(BB175,AD175),IMPRODUCT(BC175,AF175))</f>
        <v>-0.536075838893191</v>
      </c>
      <c r="BG175" s="5" t="str">
        <f>IMSUM(IMPRODUCT(BB175,AE175),IMPRODUCT(BC175,AG175))</f>
        <v>14.8482373719505i</v>
      </c>
      <c r="BH175" s="5" t="str">
        <f>IMSUM(IMPRODUCT(BD175,AD175),IMPRODUCT(BE175,AF175))</f>
        <v>3.5511435734977E-004i</v>
      </c>
      <c r="BI175" s="5" t="str">
        <f>IMSUM(IMPRODUCT(BD175,AE175),IMPRODUCT(BE175,AG175))</f>
        <v>-1.8555717410836</v>
      </c>
      <c r="BJ175" s="4" t="str">
        <f>IMSUM(IMPRODUCT(BF175,AH175),IMPRODUCT(BG175,AJ175))</f>
        <v>0.300505124007926</v>
      </c>
      <c r="BK175" s="5" t="str">
        <f>IMSUM(IMPRODUCT(BF175,AI175),IMPRODUCT(BG175,AK175))</f>
        <v>-186.211454288555i</v>
      </c>
      <c r="BL175" s="5" t="str">
        <f>IMSUM(IMPRODUCT(BH175,AH175),IMPRODUCT(BI175,AJ175))</f>
        <v>-3.7242290857711E-003i</v>
      </c>
      <c r="BM175" s="5" t="str">
        <f>IMSUM(IMPRODUCT(BH175,AI175),IMPRODUCT(BI175,AK175))</f>
        <v>1.01996891682536</v>
      </c>
      <c r="BN175" s="4">
        <f t="shared" si="12"/>
        <v>500</v>
      </c>
      <c r="BO175" s="4">
        <v>1</v>
      </c>
      <c r="BP175" s="4" t="str">
        <f>IMSUM(IMPRODUCT($BJ175,$BN175),IMPRODUCT($BK175,$BO175))</f>
        <v>150.252562003963-186.211454288555i</v>
      </c>
      <c r="BQ175" s="4" t="str">
        <f>IMSUM(IMPRODUCT($BL175,$BN175),IMPRODUCT($BM175,$BO175))</f>
        <v>1.01996891682536-1.86211454288555i</v>
      </c>
      <c r="BR175" s="4" t="str">
        <f>IMDIV($BP175,$BQ175)</f>
        <v>110.918675537426+19.9337687373576i</v>
      </c>
      <c r="BS175" s="4" t="str">
        <f>IMDIV(IMSUB($BQ$100,$BR175),IMSUM($BQ$100,$BR175))</f>
        <v>-6.01618648633576E-002-8.88234102012411E-002i</v>
      </c>
      <c r="BT175" s="4">
        <f>IMABS($BS175)</f>
        <v>0.10728023202629104</v>
      </c>
      <c r="BU175" s="4">
        <f t="shared" si="13"/>
        <v>1.2403446991429241</v>
      </c>
      <c r="BV175" s="4">
        <f t="shared" si="14"/>
        <v>-0.050273016605768585</v>
      </c>
    </row>
    <row r="176" spans="1:74" ht="12.75">
      <c r="A176" s="5">
        <v>73</v>
      </c>
      <c r="B176" s="5">
        <f t="shared" si="9"/>
        <v>14.4</v>
      </c>
      <c r="C176" s="4">
        <f t="shared" si="8"/>
        <v>2.261946710584651</v>
      </c>
      <c r="D176" s="4">
        <f t="shared" si="10"/>
        <v>0.7705132427757893</v>
      </c>
      <c r="E176" s="5">
        <f t="shared" si="11"/>
        <v>-0.6374239897486896</v>
      </c>
      <c r="F176" s="9" t="str">
        <f>IF($B$7&gt;0,COMPLEX($E176,0),1)</f>
        <v>-0.63742398974869</v>
      </c>
      <c r="G176" s="9" t="str">
        <f>IF($B$7&gt;0,COMPLEX(0,$D176*$B$16),0)</f>
        <v>92.1389886838315i</v>
      </c>
      <c r="H176" s="9" t="str">
        <f>IF($B$7&gt;0,COMPLEX(0,$D176/$B$16),0)</f>
        <v>6.44342493632169E-003i</v>
      </c>
      <c r="I176" s="9" t="str">
        <f>IF($B$7&gt;0,COMPLEX($E176,0),1)</f>
        <v>-0.63742398974869</v>
      </c>
      <c r="J176" s="9" t="str">
        <f>IF($B$7&gt;1,COMPLEX($E176,0),1)</f>
        <v>-0.63742398974869</v>
      </c>
      <c r="K176" s="9" t="str">
        <f>IF($B$7&gt;1,COMPLEX(0,$D176*$B$17),0)</f>
        <v>110.181016553269i</v>
      </c>
      <c r="L176" s="9" t="str">
        <f>IF($B$7&gt;1,COMPLEX(0,$D176/$B$17),0)</f>
        <v>5.38832074585036E-003i</v>
      </c>
      <c r="M176" s="9" t="str">
        <f>IF($B$7&gt;1,COMPLEX($E176,0),1)</f>
        <v>-0.63742398974869</v>
      </c>
      <c r="N176" s="9" t="str">
        <f>IF($B$7&gt;2,COMPLEX($E176,0),1)</f>
        <v>-0.63742398974869</v>
      </c>
      <c r="O176" s="9" t="str">
        <f>IF($B$7&gt;2,COMPLEX(0,$D176*$B$18),0)</f>
        <v>131.755911174246i</v>
      </c>
      <c r="P176" s="9" t="str">
        <f>IF($B$7&gt;2,COMPLEX(0,$D176/$B$18),0)</f>
        <v>4.50598877880865E-003i</v>
      </c>
      <c r="Q176" s="9" t="str">
        <f>IF($B$7&gt;2,COMPLEX($E176,0),1)</f>
        <v>-0.63742398974869</v>
      </c>
      <c r="R176" s="9" t="str">
        <f>IF($B$7&gt;3,COMPLEX($E176,0),1)</f>
        <v>-0.63742398974869</v>
      </c>
      <c r="S176" s="9" t="str">
        <f>IF($B$7&gt;3,COMPLEX(0,$D176*$B$19),0)</f>
        <v>157.555454400468i</v>
      </c>
      <c r="T176" s="9" t="str">
        <f>IF($B$7&gt;3,COMPLEX(0,$D176/$B$19),0)</f>
        <v>3.76813776172955E-003i</v>
      </c>
      <c r="U176" s="9" t="str">
        <f>IF($B$7&gt;3,COMPLEX($E176,0),1)</f>
        <v>-0.63742398974869</v>
      </c>
      <c r="V176" s="9" t="str">
        <f>IF($B$7&gt;4,COMPLEX($E176,0),1)</f>
        <v>-0.63742398974869</v>
      </c>
      <c r="W176" s="9" t="str">
        <f>IF($B$7&gt;4,COMPLEX(0,$D176*$B$20),0)</f>
        <v>188.406888086477i</v>
      </c>
      <c r="X176" s="9" t="str">
        <f>IF($B$7&gt;4,COMPLEX(0,$D176/$B$20),0)</f>
        <v>3.15110908800937E-003i</v>
      </c>
      <c r="Y176" s="9" t="str">
        <f>IF($B$7&gt;4,COMPLEX($E176,0),1)</f>
        <v>-0.63742398974869</v>
      </c>
      <c r="Z176" s="9" t="str">
        <f>IF($B$7&gt;5,COMPLEX($E176,0),1)</f>
        <v>-0.63742398974869</v>
      </c>
      <c r="AA176" s="9" t="str">
        <f>IF($B$7&gt;5,COMPLEX(0,$D176*$B$21),0)</f>
        <v>225.299438940432i</v>
      </c>
      <c r="AB176" s="9" t="str">
        <f>IF($B$7&gt;5,COMPLEX(0,$D176/$B$21),0)</f>
        <v>2.63511822348492E-003i</v>
      </c>
      <c r="AC176" s="9" t="str">
        <f>IF($B$7&gt;5,COMPLEX($E176,0),1)</f>
        <v>-0.63742398974869</v>
      </c>
      <c r="AD176" s="9" t="str">
        <f>IF($B$7&gt;6,COMPLEX($E176,0),1)</f>
        <v>-0.63742398974869</v>
      </c>
      <c r="AE176" s="9" t="str">
        <f>IF($B$7&gt;6,COMPLEX(0,$D176*$B$22),0)</f>
        <v>269.416037292518i</v>
      </c>
      <c r="AF176" s="9" t="str">
        <f>IF($B$7&gt;6,COMPLEX(0,$D176/$B$22),0)</f>
        <v>2.20362033106538E-003i</v>
      </c>
      <c r="AG176" s="9" t="str">
        <f>IF($B$7&gt;6,COMPLEX($E176,0),1)</f>
        <v>-0.63742398974869</v>
      </c>
      <c r="AH176" s="9" t="str">
        <f>IF($B$7&gt;7,COMPLEX($E176,0),1)</f>
        <v>-0.63742398974869</v>
      </c>
      <c r="AI176" s="9" t="str">
        <f>IF($B$7&gt;7,COMPLEX(0,$D176*$B$23),0)</f>
        <v>322.171246816085i</v>
      </c>
      <c r="AJ176" s="9" t="str">
        <f>IF($B$7&gt;7,COMPLEX(0,$D176/$B$23),0)</f>
        <v>1.84277977367663E-003i</v>
      </c>
      <c r="AK176" s="9" t="str">
        <f>IF($B$7&gt;7,COMPLEX($E176,0),1)</f>
        <v>-0.63742398974869</v>
      </c>
      <c r="AL176" s="4" t="str">
        <f>IMSUM(IMPRODUCT(F176,J176),IMPRODUCT(G176,L176))</f>
        <v>-9.0165081519623E-002</v>
      </c>
      <c r="AM176" s="5" t="str">
        <f>IMSUM(IMPRODUCT(F176,K176),IMPRODUCT(G176,M176))</f>
        <v>-128.963624944209i</v>
      </c>
      <c r="AN176" s="5" t="str">
        <f>IMSUM(IMPRODUCT(H176,J176),IMPRODUCT(I176,L176))</f>
        <v>-7.54183853842194E-003i</v>
      </c>
      <c r="AO176" s="5" t="str">
        <f>IMSUM(IMPRODUCT(H176,K176),IMPRODUCT(I176,M176))</f>
        <v>-0.303633766861468</v>
      </c>
      <c r="AP176" s="4" t="str">
        <f>IMSUM(IMPRODUCT(AL176,N176),IMPRODUCT(AM176,P176))</f>
        <v>0.638582032871347</v>
      </c>
      <c r="AQ176" s="5" t="str">
        <f>IMSUM(IMPRODUCT(AL176,O176),IMPRODUCT(AM176,Q176))</f>
        <v>70.3247258726733i</v>
      </c>
      <c r="AR176" s="5" t="str">
        <f>IMSUM(IMPRODUCT(AN176,N176),IMPRODUCT(AO176,P176))</f>
        <v>3.43917846485616E-003i</v>
      </c>
      <c r="AS176" s="5" t="str">
        <f>IMSUM(IMPRODUCT(AN176,O176),IMPRODUCT(AO176,Q176))</f>
        <v>1.18722525565409</v>
      </c>
      <c r="AT176" s="4" t="str">
        <f>IMSUM(IMPRODUCT(AP176,R176),IMPRODUCT(AQ176,T176))</f>
        <v>-0.672040762318782</v>
      </c>
      <c r="AU176" s="5" t="str">
        <f>IMSUM(IMPRODUCT(AP176,S176),IMPRODUCT(AQ176,U176))</f>
        <v>55.7854150172777i</v>
      </c>
      <c r="AV176" s="5" t="str">
        <f>IMSUM(IMPRODUCT(AR176,R176),IMPRODUCT(AS176,T176))</f>
        <v>2.28141345898281E-003i</v>
      </c>
      <c r="AW176" s="5" t="str">
        <f>IMSUM(IMPRODUCT(AR176,S176),IMPRODUCT(AS176,U176))</f>
        <v>-1.29862718498415</v>
      </c>
      <c r="AX176" s="4" t="str">
        <f>IMSUM(IMPRODUCT(AT176,V176),IMPRODUCT(AU176,X176))</f>
        <v>0.252588975751671</v>
      </c>
      <c r="AY176" s="5" t="str">
        <f>IMSUM(IMPRODUCT(AT176,W176),IMPRODUCT(AU176,Y176))</f>
        <v>-162.176070505845i</v>
      </c>
      <c r="AZ176" s="5" t="str">
        <f>IMSUM(IMPRODUCT(AV176,V176),IMPRODUCT(AW176,X176))</f>
        <v>-5.54634359383076E-003i</v>
      </c>
      <c r="BA176" s="5" t="str">
        <f>IMSUM(IMPRODUCT(AV176,W176),IMPRODUCT(AW176,Y176))</f>
        <v>0.39794211120315</v>
      </c>
      <c r="BB176" s="4" t="str">
        <f>IMSUM(IMPRODUCT(AX176,Z176),IMPRODUCT(AY176,AB176))</f>
        <v>0.266346846112962</v>
      </c>
      <c r="BC176" s="5" t="str">
        <f>IMSUM(IMPRODUCT(AX176,AA176),IMPRODUCT(AY176,AC176))</f>
        <v>160.283072422991i</v>
      </c>
      <c r="BD176" s="5" t="str">
        <f>IMSUM(IMPRODUCT(AZ176,Z176),IMPRODUCT(BA176,AB176))</f>
        <v>4.58399697122017E-003i</v>
      </c>
      <c r="BE176" s="5" t="str">
        <f>IMSUM(IMPRODUCT(AZ176,AA176),IMPRODUCT(BA176,AC176))</f>
        <v>0.995930251648801</v>
      </c>
      <c r="BF176" s="4" t="str">
        <f>IMSUM(IMPRODUCT(BB176,AD176),IMPRODUCT(BC176,AF176))</f>
        <v>-0.522978906423233</v>
      </c>
      <c r="BG176" s="5" t="str">
        <f>IMSUM(IMPRODUCT(BB176,AE176),IMPRODUCT(BC176,AG176))</f>
        <v>-30.4101636879267i</v>
      </c>
      <c r="BH176" s="5" t="str">
        <f>IMSUM(IMPRODUCT(BD176,AD176),IMPRODUCT(BE176,AF176))</f>
        <v>-7.2729748753471E-004i</v>
      </c>
      <c r="BI176" s="5" t="str">
        <f>IMSUM(IMPRODUCT(BD176,AE176),IMPRODUCT(BE176,AG176))</f>
        <v>-1.86983213346444</v>
      </c>
      <c r="BJ176" s="4" t="str">
        <f>IMSUM(IMPRODUCT(BF176,AH176),IMPRODUCT(BG176,AJ176))</f>
        <v>0.389398535645011</v>
      </c>
      <c r="BK176" s="5" t="str">
        <f>IMSUM(IMPRODUCT(BF176,AI176),IMPRODUCT(BG176,AK176))</f>
        <v>-149.104598474017i</v>
      </c>
      <c r="BL176" s="5" t="str">
        <f>IMSUM(IMPRODUCT(BH176,AH176),IMPRODUCT(BI176,AJ176))</f>
        <v>-2.98209196948032E-003i</v>
      </c>
      <c r="BM176" s="5" t="str">
        <f>IMSUM(IMPRODUCT(BH176,AI176),IMPRODUCT(BI176,AK176))</f>
        <v>1.42619019703847</v>
      </c>
      <c r="BN176" s="4">
        <f t="shared" si="12"/>
        <v>500</v>
      </c>
      <c r="BO176" s="4">
        <v>1</v>
      </c>
      <c r="BP176" s="4" t="str">
        <f>IMSUM(IMPRODUCT($BJ176,$BN176),IMPRODUCT($BK176,$BO176))</f>
        <v>194.699267822505-149.104598474017i</v>
      </c>
      <c r="BQ176" s="4" t="str">
        <f>IMSUM(IMPRODUCT($BL176,$BN176),IMPRODUCT($BM176,$BO176))</f>
        <v>1.42619019703847-1.49104598474016i</v>
      </c>
      <c r="BR176" s="4" t="str">
        <f>IMDIV($BP176,$BQ176)</f>
        <v>117.447078043207+18.240481329763i</v>
      </c>
      <c r="BS176" s="4" t="str">
        <f>IMDIV(IMSUB($BQ$100,$BR176),IMSUM($BQ$100,$BR176))</f>
        <v>-8.66628003417322E-002-7.66150103651168E-002i</v>
      </c>
      <c r="BT176" s="4">
        <f>IMABS($BS176)</f>
        <v>0.11567325004649041</v>
      </c>
      <c r="BU176" s="4">
        <f t="shared" si="13"/>
        <v>1.2616074885274509</v>
      </c>
      <c r="BV176" s="4">
        <f t="shared" si="14"/>
        <v>-0.05850217498716909</v>
      </c>
    </row>
    <row r="177" spans="1:74" ht="12.75">
      <c r="A177" s="5">
        <v>74</v>
      </c>
      <c r="B177" s="5">
        <f t="shared" si="9"/>
        <v>14.600000000000001</v>
      </c>
      <c r="C177" s="4">
        <f t="shared" si="8"/>
        <v>2.2933626371205493</v>
      </c>
      <c r="D177" s="4">
        <f t="shared" si="10"/>
        <v>0.7501110696304594</v>
      </c>
      <c r="E177" s="5">
        <f t="shared" si="11"/>
        <v>-0.661311865323652</v>
      </c>
      <c r="F177" s="9" t="str">
        <f>IF($B$7&gt;0,COMPLEX($E177,0),1)</f>
        <v>-0.661311865323652</v>
      </c>
      <c r="G177" s="9" t="str">
        <f>IF($B$7&gt;0,COMPLEX(0,$D177*$B$16),0)</f>
        <v>89.6992699402692i</v>
      </c>
      <c r="H177" s="9" t="str">
        <f>IF($B$7&gt;0,COMPLEX(0,$D177/$B$16),0)</f>
        <v>6.27281155305759E-003i</v>
      </c>
      <c r="I177" s="9" t="str">
        <f>IF($B$7&gt;0,COMPLEX($E177,0),1)</f>
        <v>-0.661311865323652</v>
      </c>
      <c r="J177" s="9" t="str">
        <f>IF($B$7&gt;1,COMPLEX($E177,0),1)</f>
        <v>-0.661311865323652</v>
      </c>
      <c r="K177" s="9" t="str">
        <f>IF($B$7&gt;1,COMPLEX(0,$D177*$B$17),0)</f>
        <v>107.263568737642i</v>
      </c>
      <c r="L177" s="9" t="str">
        <f>IF($B$7&gt;1,COMPLEX(0,$D177/$B$17),0)</f>
        <v>5.24564512820182E-003i</v>
      </c>
      <c r="M177" s="9" t="str">
        <f>IF($B$7&gt;1,COMPLEX($E177,0),1)</f>
        <v>-0.661311865323652</v>
      </c>
      <c r="N177" s="9" t="str">
        <f>IF($B$7&gt;2,COMPLEX($E177,0),1)</f>
        <v>-0.661311865323652</v>
      </c>
      <c r="O177" s="9" t="str">
        <f>IF($B$7&gt;2,COMPLEX(0,$D177*$B$18),0)</f>
        <v>128.267188640401i</v>
      </c>
      <c r="P177" s="9" t="str">
        <f>IF($B$7&gt;2,COMPLEX(0,$D177/$B$18),0)</f>
        <v>4.38667614645858E-003i</v>
      </c>
      <c r="Q177" s="9" t="str">
        <f>IF($B$7&gt;2,COMPLEX($E177,0),1)</f>
        <v>-0.661311865323652</v>
      </c>
      <c r="R177" s="9" t="str">
        <f>IF($B$7&gt;3,COMPLEX($E177,0),1)</f>
        <v>-0.661311865323652</v>
      </c>
      <c r="S177" s="9" t="str">
        <f>IF($B$7&gt;3,COMPLEX(0,$D177*$B$19),0)</f>
        <v>153.38359403232i</v>
      </c>
      <c r="T177" s="9" t="str">
        <f>IF($B$7&gt;3,COMPLEX(0,$D177/$B$19),0)</f>
        <v>3.6683624499214E-003i</v>
      </c>
      <c r="U177" s="9" t="str">
        <f>IF($B$7&gt;3,COMPLEX($E177,0),1)</f>
        <v>-0.661311865323652</v>
      </c>
      <c r="V177" s="9" t="str">
        <f>IF($B$7&gt;4,COMPLEX($E177,0),1)</f>
        <v>-0.661311865323652</v>
      </c>
      <c r="W177" s="9" t="str">
        <f>IF($B$7&gt;4,COMPLEX(0,$D177*$B$20),0)</f>
        <v>183.41812249607i</v>
      </c>
      <c r="X177" s="9" t="str">
        <f>IF($B$7&gt;4,COMPLEX(0,$D177/$B$20),0)</f>
        <v>3.06767188064641E-003i</v>
      </c>
      <c r="Y177" s="9" t="str">
        <f>IF($B$7&gt;4,COMPLEX($E177,0),1)</f>
        <v>-0.661311865323652</v>
      </c>
      <c r="Z177" s="9" t="str">
        <f>IF($B$7&gt;5,COMPLEX($E177,0),1)</f>
        <v>-0.661311865323652</v>
      </c>
      <c r="AA177" s="9" t="str">
        <f>IF($B$7&gt;5,COMPLEX(0,$D177*$B$21),0)</f>
        <v>219.333807322929i</v>
      </c>
      <c r="AB177" s="9" t="str">
        <f>IF($B$7&gt;5,COMPLEX(0,$D177/$B$21),0)</f>
        <v>2.56534377280803E-003i</v>
      </c>
      <c r="AC177" s="9" t="str">
        <f>IF($B$7&gt;5,COMPLEX($E177,0),1)</f>
        <v>-0.661311865323652</v>
      </c>
      <c r="AD177" s="9" t="str">
        <f>IF($B$7&gt;6,COMPLEX($E177,0),1)</f>
        <v>-0.661311865323652</v>
      </c>
      <c r="AE177" s="9" t="str">
        <f>IF($B$7&gt;6,COMPLEX(0,$D177*$B$22),0)</f>
        <v>262.282256410091i</v>
      </c>
      <c r="AF177" s="9" t="str">
        <f>IF($B$7&gt;6,COMPLEX(0,$D177/$B$22),0)</f>
        <v>2.14527137475283E-003i</v>
      </c>
      <c r="AG177" s="9" t="str">
        <f>IF($B$7&gt;6,COMPLEX($E177,0),1)</f>
        <v>-0.661311865323652</v>
      </c>
      <c r="AH177" s="9" t="str">
        <f>IF($B$7&gt;7,COMPLEX($E177,0),1)</f>
        <v>-0.661311865323652</v>
      </c>
      <c r="AI177" s="9" t="str">
        <f>IF($B$7&gt;7,COMPLEX(0,$D177*$B$23),0)</f>
        <v>313.64057765288i</v>
      </c>
      <c r="AJ177" s="9" t="str">
        <f>IF($B$7&gt;7,COMPLEX(0,$D177/$B$23),0)</f>
        <v>1.79398539880538E-003i</v>
      </c>
      <c r="AK177" s="9" t="str">
        <f>IF($B$7&gt;7,COMPLEX($E177,0),1)</f>
        <v>-0.661311865323652</v>
      </c>
      <c r="AL177" s="4" t="str">
        <f>IMSUM(IMPRODUCT(F177,J177),IMPRODUCT(G177,L177))</f>
        <v>-3.3197155147585E-002</v>
      </c>
      <c r="AM177" s="5" t="str">
        <f>IMSUM(IMPRODUCT(F177,K177),IMPRODUCT(G177,M177))</f>
        <v>-130.253862245531i</v>
      </c>
      <c r="AN177" s="5" t="str">
        <f>IMSUM(IMPRODUCT(H177,J177),IMPRODUCT(I177,L177))</f>
        <v>-7.61729207353334E-003i</v>
      </c>
      <c r="AO177" s="5" t="str">
        <f>IMSUM(IMPRODUCT(H177,K177),IMPRODUCT(I177,M177))</f>
        <v>-0.23551076998182</v>
      </c>
      <c r="AP177" s="4" t="str">
        <f>IMSUM(IMPRODUCT(AL177,N177),IMPRODUCT(AM177,P177))</f>
        <v>0.593335183090661</v>
      </c>
      <c r="AQ177" s="5" t="str">
        <f>IMSUM(IMPRODUCT(AL177,O177),IMPRODUCT(AM177,Q177))</f>
        <v>81.8803188455622i</v>
      </c>
      <c r="AR177" s="5" t="str">
        <f>IMSUM(IMPRODUCT(AN177,N177),IMPRODUCT(AO177,P177))</f>
        <v>4.00429615295006E-003i</v>
      </c>
      <c r="AS177" s="5" t="str">
        <f>IMSUM(IMPRODUCT(AN177,O177),IMPRODUCT(AO177,Q177))</f>
        <v>1.13279470592542</v>
      </c>
      <c r="AT177" s="4" t="str">
        <f>IMSUM(IMPRODUCT(AP177,R177),IMPRODUCT(AQ177,T177))</f>
        <v>-0.692746283732488</v>
      </c>
      <c r="AU177" s="5" t="str">
        <f>IMSUM(IMPRODUCT(AP177,S177),IMPRODUCT(AQ177,U177))</f>
        <v>36.8594564592161i</v>
      </c>
      <c r="AV177" s="5" t="str">
        <f>IMSUM(IMPRODUCT(AR177,R177),IMPRODUCT(AS177,T177))</f>
        <v>1.50741300447084E-003i</v>
      </c>
      <c r="AW177" s="5" t="str">
        <f>IMSUM(IMPRODUCT(AR177,S177),IMPRODUCT(AS177,U177))</f>
        <v>-1.36332391551357</v>
      </c>
      <c r="AX177" s="4" t="str">
        <f>IMSUM(IMPRODUCT(AT177,V177),IMPRODUCT(AU177,X177))</f>
        <v>0.345048618975312</v>
      </c>
      <c r="AY177" s="5" t="str">
        <f>IMSUM(IMPRODUCT(AT177,W177),IMPRODUCT(AU177,Y177))</f>
        <v>-151.437818634203i</v>
      </c>
      <c r="AZ177" s="5" t="str">
        <f>IMSUM(IMPRODUCT(AV177,V177),IMPRODUCT(AW177,X177))</f>
        <v>-5.17910054563348E-003i</v>
      </c>
      <c r="BA177" s="5" t="str">
        <f>IMSUM(IMPRODUCT(AV177,W177),IMPRODUCT(AW177,Y177))</f>
        <v>0.625095418502423</v>
      </c>
      <c r="BB177" s="4" t="str">
        <f>IMSUM(IMPRODUCT(AX177,Z177),IMPRODUCT(AY177,AB177))</f>
        <v>0.160305319158971</v>
      </c>
      <c r="BC177" s="5" t="str">
        <f>IMSUM(IMPRODUCT(AX177,AA177),IMPRODUCT(AY177,AC177))</f>
        <v>175.828453632904i</v>
      </c>
      <c r="BD177" s="5" t="str">
        <f>IMSUM(IMPRODUCT(AZ177,Z177),IMPRODUCT(BA177,AB177))</f>
        <v>5.02858528179764E-003i</v>
      </c>
      <c r="BE177" s="5" t="str">
        <f>IMSUM(IMPRODUCT(AZ177,AA177),IMPRODUCT(BA177,AC177))</f>
        <v>0.722568823966944</v>
      </c>
      <c r="BF177" s="4" t="str">
        <f>IMSUM(IMPRODUCT(BB177,AD177),IMPRODUCT(BC177,AF177))</f>
        <v>-0.483211558080047</v>
      </c>
      <c r="BG177" s="5" t="str">
        <f>IMSUM(IMPRODUCT(BB177,AE177),IMPRODUCT(BC177,AG177))</f>
        <v>-74.2322018253943i</v>
      </c>
      <c r="BH177" s="5" t="str">
        <f>IMSUM(IMPRODUCT(BD177,AD177),IMPRODUCT(BE177,AF177))</f>
        <v>-1.77535689829956E-003i</v>
      </c>
      <c r="BI177" s="5" t="str">
        <f>IMSUM(IMPRODUCT(BD177,AE177),IMPRODUCT(BE177,AG177))</f>
        <v>-1.79675203106276</v>
      </c>
      <c r="BJ177" s="4" t="str">
        <f>IMSUM(IMPRODUCT(BF177,AH177),IMPRODUCT(BG177,AJ177))</f>
        <v>0.452725023015795</v>
      </c>
      <c r="BK177" s="5" t="str">
        <f>IMSUM(IMPRODUCT(BF177,AI177),IMPRODUCT(BG177,AK177))</f>
        <v>-102.464116348541i</v>
      </c>
      <c r="BL177" s="5" t="str">
        <f>IMSUM(IMPRODUCT(BH177,AH177),IMPRODUCT(BI177,AJ177))</f>
        <v>-2.0492823269708E-003i</v>
      </c>
      <c r="BM177" s="5" t="str">
        <f>IMSUM(IMPRODUCT(BH177,AI177),IMPRODUCT(BI177,AK177))</f>
        <v>1.74503740030887</v>
      </c>
      <c r="BN177" s="4">
        <f t="shared" si="12"/>
        <v>500</v>
      </c>
      <c r="BO177" s="4">
        <v>1</v>
      </c>
      <c r="BP177" s="4" t="str">
        <f>IMSUM(IMPRODUCT($BJ177,$BN177),IMPRODUCT($BK177,$BO177))</f>
        <v>226.362511507897-102.464116348541i</v>
      </c>
      <c r="BQ177" s="4" t="str">
        <f>IMSUM(IMPRODUCT($BL177,$BN177),IMPRODUCT($BM177,$BO177))</f>
        <v>1.74503740030887-1.0246411634854i</v>
      </c>
      <c r="BR177" s="4" t="str">
        <f>IMDIV($BP177,$BQ177)</f>
        <v>122.098779091509+12.9758357705809i</v>
      </c>
      <c r="BS177" s="4" t="str">
        <f>IMDIV(IMSUB($BQ$100,$BR177),IMSUM($BQ$100,$BR177))</f>
        <v>-0.102563026420287-5.24316019712091E-002i</v>
      </c>
      <c r="BT177" s="4">
        <f>IMABS($BS177)</f>
        <v>0.11518787815458617</v>
      </c>
      <c r="BU177" s="4">
        <f t="shared" si="13"/>
        <v>1.2603668627738596</v>
      </c>
      <c r="BV177" s="4">
        <f t="shared" si="14"/>
        <v>-0.05800896109113557</v>
      </c>
    </row>
    <row r="178" spans="1:74" ht="12.75">
      <c r="A178" s="5">
        <v>75</v>
      </c>
      <c r="B178" s="5">
        <f t="shared" si="9"/>
        <v>14.8</v>
      </c>
      <c r="C178" s="4">
        <f t="shared" si="8"/>
        <v>2.324778563656447</v>
      </c>
      <c r="D178" s="4">
        <f t="shared" si="10"/>
        <v>0.7289686274214114</v>
      </c>
      <c r="E178" s="5">
        <f t="shared" si="11"/>
        <v>-0.6845471059286887</v>
      </c>
      <c r="F178" s="9" t="str">
        <f>IF($B$7&gt;0,COMPLEX($E178,0),1)</f>
        <v>-0.684547105928689</v>
      </c>
      <c r="G178" s="9" t="str">
        <f>IF($B$7&gt;0,COMPLEX(0,$D178*$B$16),0)</f>
        <v>87.1710288467999i</v>
      </c>
      <c r="H178" s="9" t="str">
        <f>IF($B$7&gt;0,COMPLEX(0,$D178/$B$16),0)</f>
        <v>6.09600766211634E-003i</v>
      </c>
      <c r="I178" s="9" t="str">
        <f>IF($B$7&gt;0,COMPLEX($E178,0),1)</f>
        <v>-0.684547105928689</v>
      </c>
      <c r="J178" s="9" t="str">
        <f>IF($B$7&gt;1,COMPLEX($E178,0),1)</f>
        <v>-0.684547105928689</v>
      </c>
      <c r="K178" s="9" t="str">
        <f>IF($B$7&gt;1,COMPLEX(0,$D178*$B$17),0)</f>
        <v>104.240264729758i</v>
      </c>
      <c r="L178" s="9" t="str">
        <f>IF($B$7&gt;1,COMPLEX(0,$D178/$B$17),0)</f>
        <v>5.09779269212616E-003i</v>
      </c>
      <c r="M178" s="9" t="str">
        <f>IF($B$7&gt;1,COMPLEX($E178,0),1)</f>
        <v>-0.684547105928689</v>
      </c>
      <c r="N178" s="9" t="str">
        <f>IF($B$7&gt;2,COMPLEX($E178,0),1)</f>
        <v>-0.684547105928689</v>
      </c>
      <c r="O178" s="9" t="str">
        <f>IF($B$7&gt;2,COMPLEX(0,$D178*$B$18),0)</f>
        <v>124.651881877254i</v>
      </c>
      <c r="P178" s="9" t="str">
        <f>IF($B$7&gt;2,COMPLEX(0,$D178/$B$18),0)</f>
        <v>4.26303439436179E-003i</v>
      </c>
      <c r="Q178" s="9" t="str">
        <f>IF($B$7&gt;2,COMPLEX($E178,0),1)</f>
        <v>-0.684547105928689</v>
      </c>
      <c r="R178" s="9" t="str">
        <f>IF($B$7&gt;3,COMPLEX($E178,0),1)</f>
        <v>-0.684547105928689</v>
      </c>
      <c r="S178" s="9" t="str">
        <f>IF($B$7&gt;3,COMPLEX(0,$D178*$B$19),0)</f>
        <v>149.060362575088i</v>
      </c>
      <c r="T178" s="9" t="str">
        <f>IF($B$7&gt;3,COMPLEX(0,$D178/$B$19),0)</f>
        <v>3.56496690726194E-003i</v>
      </c>
      <c r="U178" s="9" t="str">
        <f>IF($B$7&gt;3,COMPLEX($E178,0),1)</f>
        <v>-0.684547105928689</v>
      </c>
      <c r="V178" s="9" t="str">
        <f>IF($B$7&gt;4,COMPLEX($E178,0),1)</f>
        <v>-0.684547105928689</v>
      </c>
      <c r="W178" s="9" t="str">
        <f>IF($B$7&gt;4,COMPLEX(0,$D178*$B$20),0)</f>
        <v>178.248345363097i</v>
      </c>
      <c r="X178" s="9" t="str">
        <f>IF($B$7&gt;4,COMPLEX(0,$D178/$B$20),0)</f>
        <v>2.98120725150177E-003i</v>
      </c>
      <c r="Y178" s="9" t="str">
        <f>IF($B$7&gt;4,COMPLEX($E178,0),1)</f>
        <v>-0.684547105928689</v>
      </c>
      <c r="Z178" s="9" t="str">
        <f>IF($B$7&gt;5,COMPLEX($E178,0),1)</f>
        <v>-0.684547105928689</v>
      </c>
      <c r="AA178" s="9" t="str">
        <f>IF($B$7&gt;5,COMPLEX(0,$D178*$B$21),0)</f>
        <v>213.151719718089i</v>
      </c>
      <c r="AB178" s="9" t="str">
        <f>IF($B$7&gt;5,COMPLEX(0,$D178/$B$21),0)</f>
        <v>2.49303763754508E-003i</v>
      </c>
      <c r="AC178" s="9" t="str">
        <f>IF($B$7&gt;5,COMPLEX($E178,0),1)</f>
        <v>-0.684547105928689</v>
      </c>
      <c r="AD178" s="9" t="str">
        <f>IF($B$7&gt;6,COMPLEX($E178,0),1)</f>
        <v>-0.684547105928689</v>
      </c>
      <c r="AE178" s="9" t="str">
        <f>IF($B$7&gt;6,COMPLEX(0,$D178*$B$22),0)</f>
        <v>254.889634606308i</v>
      </c>
      <c r="AF178" s="9" t="str">
        <f>IF($B$7&gt;6,COMPLEX(0,$D178/$B$22),0)</f>
        <v>2.08480529459516E-003i</v>
      </c>
      <c r="AG178" s="9" t="str">
        <f>IF($B$7&gt;6,COMPLEX($E178,0),1)</f>
        <v>-0.684547105928689</v>
      </c>
      <c r="AH178" s="9" t="str">
        <f>IF($B$7&gt;7,COMPLEX($E178,0),1)</f>
        <v>-0.684547105928689</v>
      </c>
      <c r="AI178" s="9" t="str">
        <f>IF($B$7&gt;7,COMPLEX(0,$D178*$B$23),0)</f>
        <v>304.800383105817i</v>
      </c>
      <c r="AJ178" s="9" t="str">
        <f>IF($B$7&gt;7,COMPLEX(0,$D178/$B$23),0)</f>
        <v>1.743420576936E-003i</v>
      </c>
      <c r="AK178" s="9" t="str">
        <f>IF($B$7&gt;7,COMPLEX($E178,0),1)</f>
        <v>-0.684547105928689</v>
      </c>
      <c r="AL178" s="4" t="str">
        <f>IMSUM(IMPRODUCT(F178,J178),IMPRODUCT(G178,L178))</f>
        <v>2.4224906415009E-002</v>
      </c>
      <c r="AM178" s="5" t="str">
        <f>IMSUM(IMPRODUCT(F178,K178),IMPRODUCT(G178,M178))</f>
        <v>-131.030047059899i</v>
      </c>
      <c r="AN178" s="5" t="str">
        <f>IMSUM(IMPRODUCT(H178,J178),IMPRODUCT(I178,L178))</f>
        <v>-7.66268363684023E-003i</v>
      </c>
      <c r="AO178" s="5" t="str">
        <f>IMSUM(IMPRODUCT(H178,K178),IMPRODUCT(I178,M178))</f>
        <v>-0.166844712258296</v>
      </c>
      <c r="AP178" s="4" t="str">
        <f>IMSUM(IMPRODUCT(AL178,N178),IMPRODUCT(AM178,P178))</f>
        <v>0.542002507733405</v>
      </c>
      <c r="AQ178" s="5" t="str">
        <f>IMSUM(IMPRODUCT(AL178,O178),IMPRODUCT(AM178,Q178))</f>
        <v>92.715919677485i</v>
      </c>
      <c r="AR178" s="5" t="str">
        <f>IMSUM(IMPRODUCT(AN178,N178),IMPRODUCT(AO178,P178))</f>
        <v>4.53420316037159E-003i</v>
      </c>
      <c r="AS178" s="5" t="str">
        <f>IMSUM(IMPRODUCT(AN178,O178),IMPRODUCT(AO178,Q178))</f>
        <v>1.0693810004781</v>
      </c>
      <c r="AT178" s="4" t="str">
        <f>IMSUM(IMPRODUCT(AP178,R178),IMPRODUCT(AQ178,T178))</f>
        <v>-0.701555433501584</v>
      </c>
      <c r="AU178" s="5" t="str">
        <f>IMSUM(IMPRODUCT(AP178,S178),IMPRODUCT(AQ178,U178))</f>
        <v>17.3226758306092i</v>
      </c>
      <c r="AV178" s="5" t="str">
        <f>IMSUM(IMPRODUCT(AR178,R178),IMPRODUCT(AS178,T178))</f>
        <v>7.08432226834E-004i</v>
      </c>
      <c r="AW178" s="5" t="str">
        <f>IMSUM(IMPRODUCT(AR178,S178),IMPRODUCT(AS178,U178))</f>
        <v>-1.40791163608651</v>
      </c>
      <c r="AX178" s="4" t="str">
        <f>IMSUM(IMPRODUCT(AT178,V178),IMPRODUCT(AU178,X178))</f>
        <v>0.428605254850429</v>
      </c>
      <c r="AY178" s="5" t="str">
        <f>IMSUM(IMPRODUCT(AT178,W178),IMPRODUCT(AU178,Y178))</f>
        <v>-136.909282808932i</v>
      </c>
      <c r="AZ178" s="5" t="str">
        <f>IMSUM(IMPRODUCT(AV178,V178),IMPRODUCT(AW178,X178))</f>
        <v>-4.68223160960065E-003i</v>
      </c>
      <c r="BA178" s="5" t="str">
        <f>IMSUM(IMPRODUCT(AV178,W178),IMPRODUCT(AW178,Y178))</f>
        <v>0.837504963651291</v>
      </c>
      <c r="BB178" s="4" t="str">
        <f>IMSUM(IMPRODUCT(AX178,Z178),IMPRODUCT(AY178,AB178))</f>
        <v>4.7919508178282E-002</v>
      </c>
      <c r="BC178" s="5" t="str">
        <f>IMSUM(IMPRODUCT(AX178,AA178),IMPRODUCT(AY178,AC178))</f>
        <v>185.078800473205i</v>
      </c>
      <c r="BD178" s="5" t="str">
        <f>IMSUM(IMPRODUCT(AZ178,Z178),IMPRODUCT(BA178,AB178))</f>
        <v>5.29313949365344E-003i</v>
      </c>
      <c r="BE178" s="5" t="str">
        <f>IMSUM(IMPRODUCT(AZ178,AA178),IMPRODUCT(BA178,AC178))</f>
        <v>0.424714120636371</v>
      </c>
      <c r="BF178" s="4" t="str">
        <f>IMSUM(IMPRODUCT(BB178,AD178),IMPRODUCT(BC178,AF178))</f>
        <v>-0.418656423784828</v>
      </c>
      <c r="BG178" s="5" t="str">
        <f>IMSUM(IMPRODUCT(BB178,AE178),IMPRODUCT(BC178,AG178))</f>
        <v>-114.48097130261i</v>
      </c>
      <c r="BH178" s="5" t="str">
        <f>IMSUM(IMPRODUCT(BD178,AD178),IMPRODUCT(BE178,AF178))</f>
        <v>-2.73795707426528E-003i</v>
      </c>
      <c r="BI178" s="5" t="str">
        <f>IMSUM(IMPRODUCT(BD178,AE178),IMPRODUCT(BE178,AG178))</f>
        <v>-1.63990321358622</v>
      </c>
      <c r="BJ178" s="4" t="str">
        <f>IMSUM(IMPRODUCT(BF178,AH178),IMPRODUCT(BG178,AJ178))</f>
        <v>0.486178524316949</v>
      </c>
      <c r="BK178" s="5" t="str">
        <f>IMSUM(IMPRODUCT(BF178,AI178),IMPRODUCT(BG178,AK178))</f>
        <v>-49.23902077022i</v>
      </c>
      <c r="BL178" s="5" t="str">
        <f>IMSUM(IMPRODUCT(BH178,AH178),IMPRODUCT(BI178,AJ178))</f>
        <v>-9.8478041540441E-004i</v>
      </c>
      <c r="BM178" s="5" t="str">
        <f>IMSUM(IMPRODUCT(BH178,AI178),IMPRODUCT(BI178,AK178))</f>
        <v>1.95712136402694</v>
      </c>
      <c r="BN178" s="4">
        <f t="shared" si="12"/>
        <v>500</v>
      </c>
      <c r="BO178" s="4">
        <v>1</v>
      </c>
      <c r="BP178" s="4" t="str">
        <f>IMSUM(IMPRODUCT($BJ178,$BN178),IMPRODUCT($BK178,$BO178))</f>
        <v>243.089262158475-49.23902077022i</v>
      </c>
      <c r="BQ178" s="4" t="str">
        <f>IMSUM(IMPRODUCT($BL178,$BN178),IMPRODUCT($BM178,$BO178))</f>
        <v>1.95712136402694-0.492390207702205i</v>
      </c>
      <c r="BR178" s="4" t="str">
        <f>IMDIV($BP178,$BQ178)</f>
        <v>122.766504376858+5.72780207953446i</v>
      </c>
      <c r="BS178" s="4" t="str">
        <f>IMDIV(IMSUB($BQ$100,$BR178),IMSUM($BQ$100,$BR178))</f>
        <v>-0.102792113407076-2.3069128875443E-002i</v>
      </c>
      <c r="BT178" s="4">
        <f>IMABS($BS178)</f>
        <v>0.10534895958558382</v>
      </c>
      <c r="BU178" s="4">
        <f t="shared" si="13"/>
        <v>1.2355084939861796</v>
      </c>
      <c r="BV178" s="4">
        <f t="shared" si="14"/>
        <v>-0.048469218813021527</v>
      </c>
    </row>
    <row r="179" spans="1:74" ht="12.75">
      <c r="A179" s="5">
        <v>76</v>
      </c>
      <c r="B179" s="5">
        <f t="shared" si="9"/>
        <v>15</v>
      </c>
      <c r="C179" s="4">
        <f t="shared" si="8"/>
        <v>2.356194490192345</v>
      </c>
      <c r="D179" s="4">
        <f t="shared" si="10"/>
        <v>0.7071067811865476</v>
      </c>
      <c r="E179" s="5">
        <f t="shared" si="11"/>
        <v>-0.7071067811865475</v>
      </c>
      <c r="F179" s="9" t="str">
        <f>IF($B$7&gt;0,COMPLEX($E179,0),1)</f>
        <v>-0.707106781186547</v>
      </c>
      <c r="G179" s="9" t="str">
        <f>IF($B$7&gt;0,COMPLEX(0,$D179*$B$16),0)</f>
        <v>84.5567604721446i</v>
      </c>
      <c r="H179" s="9" t="str">
        <f>IF($B$7&gt;0,COMPLEX(0,$D179/$B$16),0)</f>
        <v>5.91318774759251E-003i</v>
      </c>
      <c r="I179" s="9" t="str">
        <f>IF($B$7&gt;0,COMPLEX($E179,0),1)</f>
        <v>-0.707106781186547</v>
      </c>
      <c r="J179" s="9" t="str">
        <f>IF($B$7&gt;1,COMPLEX($E179,0),1)</f>
        <v>-0.707106781186547</v>
      </c>
      <c r="K179" s="9" t="str">
        <f>IF($B$7&gt;1,COMPLEX(0,$D179*$B$17),0)</f>
        <v>101.114088165665i</v>
      </c>
      <c r="L179" s="9" t="str">
        <f>IF($B$7&gt;1,COMPLEX(0,$D179/$B$17),0)</f>
        <v>4.94490935012735E-003i</v>
      </c>
      <c r="M179" s="9" t="str">
        <f>IF($B$7&gt;1,COMPLEX($E179,0),1)</f>
        <v>-0.707106781186547</v>
      </c>
      <c r="N179" s="9" t="str">
        <f>IF($B$7&gt;2,COMPLEX($E179,0),1)</f>
        <v>-0.707106781186547</v>
      </c>
      <c r="O179" s="9" t="str">
        <f>IF($B$7&gt;2,COMPLEX(0,$D179*$B$18),0)</f>
        <v>120.913558756098i</v>
      </c>
      <c r="P179" s="9" t="str">
        <f>IF($B$7&gt;2,COMPLEX(0,$D179/$B$18),0)</f>
        <v>4.13518554200014E-003i</v>
      </c>
      <c r="Q179" s="9" t="str">
        <f>IF($B$7&gt;2,COMPLEX($E179,0),1)</f>
        <v>-0.707106781186547</v>
      </c>
      <c r="R179" s="9" t="str">
        <f>IF($B$7&gt;3,COMPLEX($E179,0),1)</f>
        <v>-0.707106781186547</v>
      </c>
      <c r="S179" s="9" t="str">
        <f>IF($B$7&gt;3,COMPLEX(0,$D179*$B$19),0)</f>
        <v>144.59002653627i</v>
      </c>
      <c r="T179" s="9" t="str">
        <f>IF($B$7&gt;3,COMPLEX(0,$D179/$B$19),0)</f>
        <v>3.45805317266869E-003i</v>
      </c>
      <c r="U179" s="9" t="str">
        <f>IF($B$7&gt;3,COMPLEX($E179,0),1)</f>
        <v>-0.707106781186547</v>
      </c>
      <c r="V179" s="9" t="str">
        <f>IF($B$7&gt;4,COMPLEX($E179,0),1)</f>
        <v>-0.707106781186547</v>
      </c>
      <c r="W179" s="9" t="str">
        <f>IF($B$7&gt;4,COMPLEX(0,$D179*$B$20),0)</f>
        <v>172.902658633435i</v>
      </c>
      <c r="X179" s="9" t="str">
        <f>IF($B$7&gt;4,COMPLEX(0,$D179/$B$20),0)</f>
        <v>2.89180053072541E-003i</v>
      </c>
      <c r="Y179" s="9" t="str">
        <f>IF($B$7&gt;4,COMPLEX($E179,0),1)</f>
        <v>-0.707106781186547</v>
      </c>
      <c r="Z179" s="9" t="str">
        <f>IF($B$7&gt;5,COMPLEX($E179,0),1)</f>
        <v>-0.707106781186547</v>
      </c>
      <c r="AA179" s="9" t="str">
        <f>IF($B$7&gt;5,COMPLEX(0,$D179*$B$21),0)</f>
        <v>206.759277100007i</v>
      </c>
      <c r="AB179" s="9" t="str">
        <f>IF($B$7&gt;5,COMPLEX(0,$D179/$B$21),0)</f>
        <v>2.41827117512196E-003i</v>
      </c>
      <c r="AC179" s="9" t="str">
        <f>IF($B$7&gt;5,COMPLEX($E179,0),1)</f>
        <v>-0.707106781186547</v>
      </c>
      <c r="AD179" s="9" t="str">
        <f>IF($B$7&gt;6,COMPLEX($E179,0),1)</f>
        <v>-0.707106781186547</v>
      </c>
      <c r="AE179" s="9" t="str">
        <f>IF($B$7&gt;6,COMPLEX(0,$D179*$B$22),0)</f>
        <v>247.245467506367i</v>
      </c>
      <c r="AF179" s="9" t="str">
        <f>IF($B$7&gt;6,COMPLEX(0,$D179/$B$22),0)</f>
        <v>2.02228176331331E-003i</v>
      </c>
      <c r="AG179" s="9" t="str">
        <f>IF($B$7&gt;6,COMPLEX($E179,0),1)</f>
        <v>-0.707106781186547</v>
      </c>
      <c r="AH179" s="9" t="str">
        <f>IF($B$7&gt;7,COMPLEX($E179,0),1)</f>
        <v>-0.707106781186547</v>
      </c>
      <c r="AI179" s="9" t="str">
        <f>IF($B$7&gt;7,COMPLEX(0,$D179*$B$23),0)</f>
        <v>295.659387379625i</v>
      </c>
      <c r="AJ179" s="9" t="str">
        <f>IF($B$7&gt;7,COMPLEX(0,$D179/$B$23),0)</f>
        <v>1.69113520944289E-003i</v>
      </c>
      <c r="AK179" s="9" t="str">
        <f>IF($B$7&gt;7,COMPLEX($E179,0),1)</f>
        <v>-0.707106781186547</v>
      </c>
      <c r="AL179" s="4" t="str">
        <f>IMSUM(IMPRODUCT(F179,J179),IMPRODUCT(G179,L179))</f>
        <v>8.1874484524812E-002</v>
      </c>
      <c r="AM179" s="5" t="str">
        <f>IMSUM(IMPRODUCT(F179,K179),IMPRODUCT(G179,M179))</f>
        <v>-131.289116140456i</v>
      </c>
      <c r="AN179" s="5" t="str">
        <f>IMSUM(IMPRODUCT(H179,J179),IMPRODUCT(I179,L179))</f>
        <v>-7.67783408857968E-003i</v>
      </c>
      <c r="AO179" s="5" t="str">
        <f>IMSUM(IMPRODUCT(H179,K179),IMPRODUCT(I179,M179))</f>
        <v>-9.79065872502E-002</v>
      </c>
      <c r="AP179" s="4" t="str">
        <f>IMSUM(IMPRODUCT(AL179,N179),IMPRODUCT(AM179,P179))</f>
        <v>0.485010851672343</v>
      </c>
      <c r="AQ179" s="5" t="str">
        <f>IMSUM(IMPRODUCT(AL179,O179),IMPRODUCT(AM179,Q179))</f>
        <v>102.735159614121i</v>
      </c>
      <c r="AR179" s="5" t="str">
        <f>IMSUM(IMPRODUCT(AN179,N179),IMPRODUCT(AO179,P179))</f>
        <v>5.02418664479632E-003i</v>
      </c>
      <c r="AS179" s="5" t="str">
        <f>IMSUM(IMPRODUCT(AN179,O179),IMPRODUCT(AO179,Q179))</f>
        <v>0.9975846549565</v>
      </c>
      <c r="AT179" s="4" t="str">
        <f>IMSUM(IMPRODUCT(AP179,R179),IMPRODUCT(AQ179,T179))</f>
        <v>-0.698218106814811</v>
      </c>
      <c r="AU179" s="5" t="str">
        <f>IMSUM(IMPRODUCT(AP179,S179),IMPRODUCT(AQ179,U179))</f>
        <v>-2.51699611574421i</v>
      </c>
      <c r="AV179" s="5" t="str">
        <f>IMSUM(IMPRODUCT(AR179,R179),IMPRODUCT(AS179,T179))</f>
        <v>-1.0293566540443E-004i</v>
      </c>
      <c r="AW179" s="5" t="str">
        <f>IMSUM(IMPRODUCT(AR179,S179),IMPRODUCT(AS179,U179))</f>
        <v>-1.43184615462166</v>
      </c>
      <c r="AX179" s="4" t="str">
        <f>IMSUM(IMPRODUCT(AT179,V179),IMPRODUCT(AU179,X179))</f>
        <v>0.500993408779329</v>
      </c>
      <c r="AY179" s="5" t="str">
        <f>IMSUM(IMPRODUCT(AT179,W179),IMPRODUCT(AU179,Y179))</f>
        <v>-118.943981952622i</v>
      </c>
      <c r="AZ179" s="5" t="str">
        <f>IMSUM(IMPRODUCT(AV179,V179),IMPRODUCT(AW179,X179))</f>
        <v>-4.06782696281863E-003i</v>
      </c>
      <c r="BA179" s="5" t="str">
        <f>IMSUM(IMPRODUCT(AV179,W179),IMPRODUCT(AW179,Y179))</f>
        <v>1.03026597576549</v>
      </c>
      <c r="BB179" s="4" t="str">
        <f>IMSUM(IMPRODUCT(AX179,Z179),IMPRODUCT(AY179,AB179))</f>
        <v>-6.6617033667375E-002</v>
      </c>
      <c r="BC179" s="5" t="str">
        <f>IMSUM(IMPRODUCT(AX179,AA179),IMPRODUCT(AY179,AC179))</f>
        <v>187.691131251111i</v>
      </c>
      <c r="BD179" s="5" t="str">
        <f>IMSUM(IMPRODUCT(AZ179,Z179),IMPRODUCT(BA179,AB179))</f>
        <v>5.36785054200511E-003i</v>
      </c>
      <c r="BE179" s="5" t="str">
        <f>IMSUM(IMPRODUCT(AZ179,AA179),IMPRODUCT(BA179,AC179))</f>
        <v>0.112552904310744</v>
      </c>
      <c r="BF179" s="4" t="str">
        <f>IMSUM(IMPRODUCT(BB179,AD179),IMPRODUCT(BC179,AF179))</f>
        <v>-0.332458995616034</v>
      </c>
      <c r="BG179" s="5" t="str">
        <f>IMSUM(IMPRODUCT(BB179,AE179),IMPRODUCT(BC179,AG179))</f>
        <v>-149.188431309212i</v>
      </c>
      <c r="BH179" s="5" t="str">
        <f>IMSUM(IMPRODUCT(BD179,AD179),IMPRODUCT(BE179,AF179))</f>
        <v>-3.56802983285212E-003i</v>
      </c>
      <c r="BI179" s="5" t="str">
        <f>IMSUM(IMPRODUCT(BD179,AE179),IMPRODUCT(BE179,AG179))</f>
        <v>-1.40676363864273</v>
      </c>
      <c r="BJ179" s="4" t="str">
        <f>IMSUM(IMPRODUCT(BF179,AH179),IMPRODUCT(BG179,AJ179))</f>
        <v>0.487381819295126</v>
      </c>
      <c r="BK179" s="5" t="str">
        <f>IMSUM(IMPRODUCT(BF179,AI179),IMPRODUCT(BG179,AK179))</f>
        <v>7.19752848064499i</v>
      </c>
      <c r="BL179" s="5" t="str">
        <f>IMSUM(IMPRODUCT(BH179,AH179),IMPRODUCT(BI179,AJ179))</f>
        <v>1.4395056961292E-004i</v>
      </c>
      <c r="BM179" s="5" t="str">
        <f>IMSUM(IMPRODUCT(BH179,AI179),IMPRODUCT(BI179,AK179))</f>
        <v>2.04965362294422</v>
      </c>
      <c r="BN179" s="4">
        <f t="shared" si="12"/>
        <v>500</v>
      </c>
      <c r="BO179" s="4">
        <v>1</v>
      </c>
      <c r="BP179" s="4" t="str">
        <f>IMSUM(IMPRODUCT($BJ179,$BN179),IMPRODUCT($BK179,$BO179))</f>
        <v>243.690909647563+7.19752848064499i</v>
      </c>
      <c r="BQ179" s="4" t="str">
        <f>IMSUM(IMPRODUCT($BL179,$BN179),IMPRODUCT($BM179,$BO179))</f>
        <v>2.04965362294422+7.197528480646E-002i</v>
      </c>
      <c r="BR179" s="4" t="str">
        <f>IMDIV($BP179,$BQ179)</f>
        <v>118.870433731858-0.662650911875503i</v>
      </c>
      <c r="BS179" s="4" t="str">
        <f>IMDIV(IMSUB($BQ$100,$BR179),IMSUM($BQ$100,$BR179))</f>
        <v>-8.62257485349222E-002+2.76653785829983E-003i</v>
      </c>
      <c r="BT179" s="4">
        <f>IMABS($BS179)</f>
        <v>0.08627011905711643</v>
      </c>
      <c r="BU179" s="4">
        <f t="shared" si="13"/>
        <v>1.1888306836766547</v>
      </c>
      <c r="BV179" s="4">
        <f t="shared" si="14"/>
        <v>-0.03244339288798907</v>
      </c>
    </row>
    <row r="180" spans="1:74" ht="12.75">
      <c r="A180" s="5">
        <v>77</v>
      </c>
      <c r="B180" s="5">
        <f t="shared" si="9"/>
        <v>15.200000000000001</v>
      </c>
      <c r="C180" s="4">
        <f t="shared" si="8"/>
        <v>2.3876104167282426</v>
      </c>
      <c r="D180" s="4">
        <f t="shared" si="10"/>
        <v>0.6845471059286888</v>
      </c>
      <c r="E180" s="5">
        <f t="shared" si="11"/>
        <v>-0.7289686274214113</v>
      </c>
      <c r="F180" s="9" t="str">
        <f>IF($B$7&gt;0,COMPLEX($E180,0),1)</f>
        <v>-0.728968627421411</v>
      </c>
      <c r="G180" s="9" t="str">
        <f>IF($B$7&gt;0,COMPLEX(0,$D180*$B$16),0)</f>
        <v>81.8590447835648i</v>
      </c>
      <c r="H180" s="9" t="str">
        <f>IF($B$7&gt;0,COMPLEX(0,$D180/$B$16),0)</f>
        <v>5.72453223066961E-003i</v>
      </c>
      <c r="I180" s="9" t="str">
        <f>IF($B$7&gt;0,COMPLEX($E180,0),1)</f>
        <v>-0.728968627421411</v>
      </c>
      <c r="J180" s="9" t="str">
        <f>IF($B$7&gt;1,COMPLEX($E180,0),1)</f>
        <v>-0.728968627421411</v>
      </c>
      <c r="K180" s="9" t="str">
        <f>IF($B$7&gt;1,COMPLEX(0,$D180*$B$17),0)</f>
        <v>97.8881242042052i</v>
      </c>
      <c r="L180" s="9" t="str">
        <f>IF($B$7&gt;1,COMPLEX(0,$D180/$B$17),0)</f>
        <v>4.7871459796061E-003i</v>
      </c>
      <c r="M180" s="9" t="str">
        <f>IF($B$7&gt;1,COMPLEX($E180,0),1)</f>
        <v>-0.728968627421411</v>
      </c>
      <c r="N180" s="9" t="str">
        <f>IF($B$7&gt;2,COMPLEX($E180,0),1)</f>
        <v>-0.728968627421411</v>
      </c>
      <c r="O180" s="9" t="str">
        <f>IF($B$7&gt;2,COMPLEX(0,$D180*$B$18),0)</f>
        <v>117.05590855052i</v>
      </c>
      <c r="P180" s="9" t="str">
        <f>IF($B$7&gt;2,COMPLEX(0,$D180/$B$18),0)</f>
        <v>4.00325576075554E-003i</v>
      </c>
      <c r="Q180" s="9" t="str">
        <f>IF($B$7&gt;2,COMPLEX($E180,0),1)</f>
        <v>-0.728968627421411</v>
      </c>
      <c r="R180" s="9" t="str">
        <f>IF($B$7&gt;3,COMPLEX($E180,0),1)</f>
        <v>-0.728968627421411</v>
      </c>
      <c r="S180" s="9" t="str">
        <f>IF($B$7&gt;3,COMPLEX(0,$D180*$B$19),0)</f>
        <v>139.976997597826i</v>
      </c>
      <c r="T180" s="9" t="str">
        <f>IF($B$7&gt;3,COMPLEX(0,$D180/$B$19),0)</f>
        <v>3.34772675708984E-003i</v>
      </c>
      <c r="U180" s="9" t="str">
        <f>IF($B$7&gt;3,COMPLEX($E180,0),1)</f>
        <v>-0.728968627421411</v>
      </c>
      <c r="V180" s="9" t="str">
        <f>IF($B$7&gt;4,COMPLEX($E180,0),1)</f>
        <v>-0.728968627421411</v>
      </c>
      <c r="W180" s="9" t="str">
        <f>IF($B$7&gt;4,COMPLEX(0,$D180*$B$20),0)</f>
        <v>167.386337854492i</v>
      </c>
      <c r="X180" s="9" t="str">
        <f>IF($B$7&gt;4,COMPLEX(0,$D180/$B$20),0)</f>
        <v>2.79953995195653E-003i</v>
      </c>
      <c r="Y180" s="9" t="str">
        <f>IF($B$7&gt;4,COMPLEX($E180,0),1)</f>
        <v>-0.728968627421411</v>
      </c>
      <c r="Z180" s="9" t="str">
        <f>IF($B$7&gt;5,COMPLEX($E180,0),1)</f>
        <v>-0.728968627421411</v>
      </c>
      <c r="AA180" s="9" t="str">
        <f>IF($B$7&gt;5,COMPLEX(0,$D180*$B$21),0)</f>
        <v>200.162788037777i</v>
      </c>
      <c r="AB180" s="9" t="str">
        <f>IF($B$7&gt;5,COMPLEX(0,$D180/$B$21),0)</f>
        <v>2.34111817101041E-003i</v>
      </c>
      <c r="AC180" s="9" t="str">
        <f>IF($B$7&gt;5,COMPLEX($E180,0),1)</f>
        <v>-0.728968627421411</v>
      </c>
      <c r="AD180" s="9" t="str">
        <f>IF($B$7&gt;6,COMPLEX($E180,0),1)</f>
        <v>-0.728968627421411</v>
      </c>
      <c r="AE180" s="9" t="str">
        <f>IF($B$7&gt;6,COMPLEX(0,$D180*$B$22),0)</f>
        <v>239.357298980305i</v>
      </c>
      <c r="AF180" s="9" t="str">
        <f>IF($B$7&gt;6,COMPLEX(0,$D180/$B$22),0)</f>
        <v>1.9577624840841E-003i</v>
      </c>
      <c r="AG180" s="9" t="str">
        <f>IF($B$7&gt;6,COMPLEX($E180,0),1)</f>
        <v>-0.728968627421411</v>
      </c>
      <c r="AH180" s="9" t="str">
        <f>IF($B$7&gt;7,COMPLEX($E180,0),1)</f>
        <v>-0.728968627421411</v>
      </c>
      <c r="AI180" s="9" t="str">
        <f>IF($B$7&gt;7,COMPLEX(0,$D180*$B$23),0)</f>
        <v>286.22661153348i</v>
      </c>
      <c r="AJ180" s="9" t="str">
        <f>IF($B$7&gt;7,COMPLEX(0,$D180/$B$23),0)</f>
        <v>1.6371808956713E-003i</v>
      </c>
      <c r="AK180" s="9" t="str">
        <f>IF($B$7&gt;7,COMPLEX($E180,0),1)</f>
        <v>-0.728968627421411</v>
      </c>
      <c r="AL180" s="4" t="str">
        <f>IMSUM(IMPRODUCT(F180,J180),IMPRODUCT(G180,L180))</f>
        <v>0.139524062634618</v>
      </c>
      <c r="AM180" s="5" t="str">
        <f>IMSUM(IMPRODUCT(F180,K180),IMPRODUCT(G180,M180))</f>
        <v>-131.030047059899i</v>
      </c>
      <c r="AN180" s="5" t="str">
        <f>IMSUM(IMPRODUCT(H180,J180),IMPRODUCT(I180,L180))</f>
        <v>-7.66268363684023E-003i</v>
      </c>
      <c r="AO180" s="5" t="str">
        <f>IMSUM(IMPRODUCT(H180,K180),IMPRODUCT(I180,M180))</f>
        <v>-2.8968462242107E-002</v>
      </c>
      <c r="AP180" s="4" t="str">
        <f>IMSUM(IMPRODUCT(AL180,N180),IMPRODUCT(AM180,P180))</f>
        <v>0.422838126293594</v>
      </c>
      <c r="AQ180" s="5" t="str">
        <f>IMSUM(IMPRODUCT(AL180,O180),IMPRODUCT(AM180,Q180))</f>
        <v>111.848909472572i</v>
      </c>
      <c r="AR180" s="5" t="str">
        <f>IMSUM(IMPRODUCT(AN180,N180),IMPRODUCT(AO180,P180))</f>
        <v>5.46988780976099E-003i</v>
      </c>
      <c r="AS180" s="5" t="str">
        <f>IMSUM(IMPRODUCT(AN180,O180),IMPRODUCT(AO180,Q180))</f>
        <v>0.918079495204674</v>
      </c>
      <c r="AT180" s="4" t="str">
        <f>IMSUM(IMPRODUCT(AP180,R180),IMPRODUCT(AQ180,T180))</f>
        <v>-0.682675315538331</v>
      </c>
      <c r="AU180" s="5" t="str">
        <f>IMSUM(IMPRODUCT(AP180,S180),IMPRODUCT(AQ180,U180))</f>
        <v>-22.3467346283348i</v>
      </c>
      <c r="AV180" s="5" t="str">
        <f>IMSUM(IMPRODUCT(AR180,R180),IMPRODUCT(AS180,T180))</f>
        <v>-9.1389731759836E-004i</v>
      </c>
      <c r="AW180" s="5" t="str">
        <f>IMSUM(IMPRODUCT(AR180,S180),IMPRODUCT(AS180,U180))</f>
        <v>-1.43490962229039</v>
      </c>
      <c r="AX180" s="4" t="str">
        <f>IMSUM(IMPRODUCT(AT180,V180),IMPRODUCT(AU180,X180))</f>
        <v>0.56020946413025</v>
      </c>
      <c r="AY180" s="5" t="str">
        <f>IMSUM(IMPRODUCT(AT180,W180),IMPRODUCT(AU180,Y180))</f>
        <v>-97.9804525422533i</v>
      </c>
      <c r="AZ180" s="5" t="str">
        <f>IMSUM(IMPRODUCT(AV180,V180),IMPRODUCT(AW180,X180))</f>
        <v>-3.35088434183501E-003i</v>
      </c>
      <c r="BA180" s="5" t="str">
        <f>IMSUM(IMPRODUCT(AV180,W180),IMPRODUCT(AW180,Y180))</f>
        <v>1.19897802300263</v>
      </c>
      <c r="BB180" s="4" t="str">
        <f>IMSUM(IMPRODUCT(AX180,Z180),IMPRODUCT(AY180,AB180))</f>
        <v>-0.178991306285021</v>
      </c>
      <c r="BC180" s="5" t="str">
        <f>IMSUM(IMPRODUCT(AX180,AA180),IMPRODUCT(AY180,AC180))</f>
        <v>183.557764229315i</v>
      </c>
      <c r="BD180" s="5" t="str">
        <f>IMSUM(IMPRODUCT(AZ180,Z180),IMPRODUCT(BA180,AB180))</f>
        <v>5.24963879560896E-003i</v>
      </c>
      <c r="BE180" s="5" t="str">
        <f>IMSUM(IMPRODUCT(AZ180,AA180),IMPRODUCT(BA180,AC180))</f>
        <v>-0.203295011482837</v>
      </c>
      <c r="BF180" s="4" t="str">
        <f>IMSUM(IMPRODUCT(BB180,AD180),IMPRODUCT(BC180,AF180))</f>
        <v>-0.22888345760755</v>
      </c>
      <c r="BG180" s="5" t="str">
        <f>IMSUM(IMPRODUCT(BB180,AE180),IMPRODUCT(BC180,AG180))</f>
        <v>-176.650727056126i</v>
      </c>
      <c r="BH180" s="5" t="str">
        <f>IMSUM(IMPRODUCT(BD180,AD180),IMPRODUCT(BE180,AF180))</f>
        <v>-4.22482533397579E-003i</v>
      </c>
      <c r="BI180" s="5" t="str">
        <f>IMSUM(IMPRODUCT(BD180,AE180),IMPRODUCT(BE180,AG180))</f>
        <v>-1.10834367725692</v>
      </c>
      <c r="BJ180" s="4" t="str">
        <f>IMSUM(IMPRODUCT(BF180,AH180),IMPRODUCT(BG180,AJ180))</f>
        <v>0.456058055474377</v>
      </c>
      <c r="BK180" s="5" t="str">
        <f>IMSUM(IMPRODUCT(BF180,AI180),IMPRODUCT(BG180,AK180))</f>
        <v>63.260301528022i</v>
      </c>
      <c r="BL180" s="5" t="str">
        <f>IMSUM(IMPRODUCT(BH180,AH180),IMPRODUCT(BI180,AJ180))</f>
        <v>1.26520603056043E-003i</v>
      </c>
      <c r="BM180" s="5" t="str">
        <f>IMSUM(IMPRODUCT(BH180,AI180),IMPRODUCT(BI180,AK180))</f>
        <v>2.01720520878587</v>
      </c>
      <c r="BN180" s="4">
        <f t="shared" si="12"/>
        <v>500</v>
      </c>
      <c r="BO180" s="4">
        <v>1</v>
      </c>
      <c r="BP180" s="4" t="str">
        <f>IMSUM(IMPRODUCT($BJ180,$BN180),IMPRODUCT($BK180,$BO180))</f>
        <v>228.029027737189+63.260301528022i</v>
      </c>
      <c r="BQ180" s="4" t="str">
        <f>IMSUM(IMPRODUCT($BL180,$BN180),IMPRODUCT($BM180,$BO180))</f>
        <v>2.01720520878587+0.632603015280215i</v>
      </c>
      <c r="BR180" s="4" t="str">
        <f>IMDIV($BP180,$BQ180)</f>
        <v>111.874256897104-3.72381088676679i</v>
      </c>
      <c r="BS180" s="4" t="str">
        <f>IMDIV(IMSUB($BQ$100,$BR180),IMSUM($BQ$100,$BR180))</f>
        <v>-5.63353855622415E-002+1.65854437257401E-002i</v>
      </c>
      <c r="BT180" s="4">
        <f>IMABS($BS180)</f>
        <v>0.058726081173751915</v>
      </c>
      <c r="BU180" s="4">
        <f t="shared" si="13"/>
        <v>1.1247800029283341</v>
      </c>
      <c r="BV180" s="4">
        <f t="shared" si="14"/>
        <v>-0.015003629078975133</v>
      </c>
    </row>
    <row r="181" spans="1:74" ht="12.75">
      <c r="A181" s="5">
        <v>78</v>
      </c>
      <c r="B181" s="5">
        <f t="shared" si="9"/>
        <v>15.4</v>
      </c>
      <c r="C181" s="4">
        <f t="shared" si="8"/>
        <v>2.419026343264141</v>
      </c>
      <c r="D181" s="4">
        <f t="shared" si="10"/>
        <v>0.6613118653236518</v>
      </c>
      <c r="E181" s="5">
        <f t="shared" si="11"/>
        <v>-0.7501110696304596</v>
      </c>
      <c r="F181" s="9" t="str">
        <f>IF($B$7&gt;0,COMPLEX($E181,0),1)</f>
        <v>-0.75011106963046</v>
      </c>
      <c r="G181" s="9" t="str">
        <f>IF($B$7&gt;0,COMPLEX(0,$D181*$B$16),0)</f>
        <v>79.0805441007458i</v>
      </c>
      <c r="H181" s="9" t="str">
        <f>IF($B$7&gt;0,COMPLEX(0,$D181/$B$16),0)</f>
        <v>5.53022729156618E-003i</v>
      </c>
      <c r="I181" s="9" t="str">
        <f>IF($B$7&gt;0,COMPLEX($E181,0),1)</f>
        <v>-0.75011106963046</v>
      </c>
      <c r="J181" s="9" t="str">
        <f>IF($B$7&gt;1,COMPLEX($E181,0),1)</f>
        <v>-0.75011106963046</v>
      </c>
      <c r="K181" s="9" t="str">
        <f>IF($B$7&gt;1,COMPLEX(0,$D181*$B$17),0)</f>
        <v>94.5655564823319i</v>
      </c>
      <c r="L181" s="9" t="str">
        <f>IF($B$7&gt;1,COMPLEX(0,$D181/$B$17),0)</f>
        <v>4.62465827396211E-003i</v>
      </c>
      <c r="M181" s="9" t="str">
        <f>IF($B$7&gt;1,COMPLEX($E181,0),1)</f>
        <v>-0.75011106963046</v>
      </c>
      <c r="N181" s="9" t="str">
        <f>IF($B$7&gt;2,COMPLEX($E181,0),1)</f>
        <v>-0.75011106963046</v>
      </c>
      <c r="O181" s="9" t="str">
        <f>IF($B$7&gt;2,COMPLEX(0,$D181*$B$18),0)</f>
        <v>113.082738295534i</v>
      </c>
      <c r="P181" s="9" t="str">
        <f>IF($B$7&gt;2,COMPLEX(0,$D181/$B$18),0)</f>
        <v>3.86737524939399E-003i</v>
      </c>
      <c r="Q181" s="9" t="str">
        <f>IF($B$7&gt;2,COMPLEX($E181,0),1)</f>
        <v>-0.75011106963046</v>
      </c>
      <c r="R181" s="9" t="str">
        <f>IF($B$7&gt;3,COMPLEX($E181,0),1)</f>
        <v>-0.75011106963046</v>
      </c>
      <c r="S181" s="9" t="str">
        <f>IF($B$7&gt;3,COMPLEX(0,$D181*$B$19),0)</f>
        <v>135.225828262381i</v>
      </c>
      <c r="T181" s="9" t="str">
        <f>IF($B$7&gt;3,COMPLEX(0,$D181/$B$19),0)</f>
        <v>3.23409653937768E-003i</v>
      </c>
      <c r="U181" s="9" t="str">
        <f>IF($B$7&gt;3,COMPLEX($E181,0),1)</f>
        <v>-0.75011106963046</v>
      </c>
      <c r="V181" s="9" t="str">
        <f>IF($B$7&gt;4,COMPLEX($E181,0),1)</f>
        <v>-0.75011106963046</v>
      </c>
      <c r="W181" s="9" t="str">
        <f>IF($B$7&gt;4,COMPLEX(0,$D181*$B$20),0)</f>
        <v>161.704826968884i</v>
      </c>
      <c r="X181" s="9" t="str">
        <f>IF($B$7&gt;4,COMPLEX(0,$D181/$B$20),0)</f>
        <v>2.70451656524762E-003i</v>
      </c>
      <c r="Y181" s="9" t="str">
        <f>IF($B$7&gt;4,COMPLEX($E181,0),1)</f>
        <v>-0.75011106963046</v>
      </c>
      <c r="Z181" s="9" t="str">
        <f>IF($B$7&gt;5,COMPLEX($E181,0),1)</f>
        <v>-0.75011106963046</v>
      </c>
      <c r="AA181" s="9" t="str">
        <f>IF($B$7&gt;5,COMPLEX(0,$D181*$B$21),0)</f>
        <v>193.3687624697i</v>
      </c>
      <c r="AB181" s="9" t="str">
        <f>IF($B$7&gt;5,COMPLEX(0,$D181/$B$21),0)</f>
        <v>2.26165476591069E-003i</v>
      </c>
      <c r="AC181" s="9" t="str">
        <f>IF($B$7&gt;5,COMPLEX($E181,0),1)</f>
        <v>-0.75011106963046</v>
      </c>
      <c r="AD181" s="9" t="str">
        <f>IF($B$7&gt;6,COMPLEX($E181,0),1)</f>
        <v>-0.75011106963046</v>
      </c>
      <c r="AE181" s="9" t="str">
        <f>IF($B$7&gt;6,COMPLEX(0,$D181*$B$22),0)</f>
        <v>231.232913698106i</v>
      </c>
      <c r="AF181" s="9" t="str">
        <f>IF($B$7&gt;6,COMPLEX(0,$D181/$B$22),0)</f>
        <v>1.89131112964664E-003i</v>
      </c>
      <c r="AG181" s="9" t="str">
        <f>IF($B$7&gt;6,COMPLEX($E181,0),1)</f>
        <v>-0.75011106963046</v>
      </c>
      <c r="AH181" s="9" t="str">
        <f>IF($B$7&gt;7,COMPLEX($E181,0),1)</f>
        <v>-0.75011106963046</v>
      </c>
      <c r="AI181" s="9" t="str">
        <f>IF($B$7&gt;7,COMPLEX(0,$D181*$B$23),0)</f>
        <v>276.511364578309i</v>
      </c>
      <c r="AJ181" s="9" t="str">
        <f>IF($B$7&gt;7,COMPLEX(0,$D181/$B$23),0)</f>
        <v>1.58161088201492E-003i</v>
      </c>
      <c r="AK181" s="9" t="str">
        <f>IF($B$7&gt;7,COMPLEX($E181,0),1)</f>
        <v>-0.75011106963046</v>
      </c>
      <c r="AL181" s="4" t="str">
        <f>IMSUM(IMPRODUCT(F181,J181),IMPRODUCT(G181,L181))</f>
        <v>0.196946124197213</v>
      </c>
      <c r="AM181" s="5" t="str">
        <f>IMSUM(IMPRODUCT(F181,K181),IMPRODUCT(G181,M181))</f>
        <v>-130.253862245531i</v>
      </c>
      <c r="AN181" s="5" t="str">
        <f>IMSUM(IMPRODUCT(H181,J181),IMPRODUCT(I181,L181))</f>
        <v>-7.61729207353335E-003i</v>
      </c>
      <c r="AO181" s="5" t="str">
        <f>IMSUM(IMPRODUCT(H181,K181),IMPRODUCT(I181,M181))</f>
        <v>3.9697595481418E-002</v>
      </c>
      <c r="AP181" s="4" t="str">
        <f>IMSUM(IMPRODUCT(AL181,N181),IMPRODUCT(AM181,P181))</f>
        <v>0.356009095105196</v>
      </c>
      <c r="AQ181" s="5" t="str">
        <f>IMSUM(IMPRODUCT(AL181,O181),IMPRODUCT(AM181,Q181))</f>
        <v>119.976070953407i</v>
      </c>
      <c r="AR181" s="5" t="str">
        <f>IMSUM(IMPRODUCT(AN181,N181),IMPRODUCT(AO181,P181))</f>
        <v>5.86734060319102E-003i</v>
      </c>
      <c r="AS181" s="5" t="str">
        <f>IMSUM(IMPRODUCT(AN181,O181),IMPRODUCT(AO181,Q181))</f>
        <v>0.831606640263693</v>
      </c>
      <c r="AT181" s="4" t="str">
        <f>IMSUM(IMPRODUCT(AP181,R181),IMPRODUCT(AQ181,T181))</f>
        <v>-0.655060559006076</v>
      </c>
      <c r="AU181" s="5" t="str">
        <f>IMSUM(IMPRODUCT(AP181,S181),IMPRODUCT(AQ181,U181))</f>
        <v>-41.8537541583792i</v>
      </c>
      <c r="AV181" s="5" t="str">
        <f>IMSUM(IMPRODUCT(AR181,R181),IMPRODUCT(AS181,T181))</f>
        <v>-1.71166097834553E-003i</v>
      </c>
      <c r="AW181" s="5" t="str">
        <f>IMSUM(IMPRODUCT(AR181,S181),IMPRODUCT(AS181,U181))</f>
        <v>-1.417213339204</v>
      </c>
      <c r="AX181" s="4" t="str">
        <f>IMSUM(IMPRODUCT(AT181,V181),IMPRODUCT(AU181,X181))</f>
        <v>0.604562348027913</v>
      </c>
      <c r="AY181" s="5" t="str">
        <f>IMSUM(IMPRODUCT(AT181,W181),IMPRODUCT(AU181,Y181))</f>
        <v>-74.5314900484259i</v>
      </c>
      <c r="AZ181" s="5" t="str">
        <f>IMSUM(IMPRODUCT(AV181,V181),IMPRODUCT(AW181,X181))</f>
        <v>-2.54894110505562E-003i</v>
      </c>
      <c r="BA181" s="5" t="str">
        <f>IMSUM(IMPRODUCT(AV181,W181),IMPRODUCT(AW181,Y181))</f>
        <v>1.33985125609762</v>
      </c>
      <c r="BB181" s="4" t="str">
        <f>IMSUM(IMPRODUCT(AX181,Z181),IMPRODUCT(AY181,AB181))</f>
        <v>-0.284924409859072</v>
      </c>
      <c r="BC181" s="5" t="str">
        <f>IMSUM(IMPRODUCT(AX181,AA181),IMPRODUCT(AY181,AC181))</f>
        <v>172.810368795311i</v>
      </c>
      <c r="BD181" s="5" t="str">
        <f>IMSUM(IMPRODUCT(AZ181,Z181),IMPRODUCT(BA181,AB181))</f>
        <v>4.94226991770293E-003i</v>
      </c>
      <c r="BE181" s="5" t="str">
        <f>IMSUM(IMPRODUCT(AZ181,AA181),IMPRODUCT(BA181,AC181))</f>
        <v>-0.512151671764345</v>
      </c>
      <c r="BF181" s="4" t="str">
        <f>IMSUM(IMPRODUCT(BB181,AD181),IMPRODUCT(BC181,AF181))</f>
        <v>-0.113113219977696</v>
      </c>
      <c r="BG181" s="5" t="str">
        <f>IMSUM(IMPRODUCT(BB181,AE181),IMPRODUCT(BC181,AG181))</f>
        <v>-195.510872055712i</v>
      </c>
      <c r="BH181" s="5" t="str">
        <f>IMSUM(IMPRODUCT(BD181,AD181),IMPRODUCT(BE181,AF181))</f>
        <v>-4.67588953124563E-003i</v>
      </c>
      <c r="BI181" s="5" t="str">
        <f>IMSUM(IMPRODUCT(BD181,AE181),IMPRODUCT(BE181,AG181))</f>
        <v>-0.758644835032769</v>
      </c>
      <c r="BJ181" s="4" t="str">
        <f>IMSUM(IMPRODUCT(BF181,AH181),IMPRODUCT(BG181,AJ181))</f>
        <v>0.394069601222356</v>
      </c>
      <c r="BK181" s="5" t="str">
        <f>IMSUM(IMPRODUCT(BF181,AI181),IMPRODUCT(BG181,AK181))</f>
        <v>115.377778554215i</v>
      </c>
      <c r="BL181" s="5" t="str">
        <f>IMSUM(IMPRODUCT(BH181,AH181),IMPRODUCT(BI181,AJ181))</f>
        <v>2.30755557108429E-003i</v>
      </c>
      <c r="BM181" s="5" t="str">
        <f>IMSUM(IMPRODUCT(BH181,AI181),IMPRODUCT(BI181,AK181))</f>
        <v>1.86200448357821</v>
      </c>
      <c r="BN181" s="4">
        <f t="shared" si="12"/>
        <v>500</v>
      </c>
      <c r="BO181" s="4">
        <v>1</v>
      </c>
      <c r="BP181" s="4" t="str">
        <f>IMSUM(IMPRODUCT($BJ181,$BN181),IMPRODUCT($BK181,$BO181))</f>
        <v>197.034800611178+115.377778554215i</v>
      </c>
      <c r="BQ181" s="4" t="str">
        <f>IMSUM(IMPRODUCT($BL181,$BN181),IMPRODUCT($BM181,$BO181))</f>
        <v>1.86200448357821+1.15377778554214i</v>
      </c>
      <c r="BR181" s="4" t="str">
        <f>IMDIV($BP181,$BQ181)</f>
        <v>104.204356616644-2.60519956292341i</v>
      </c>
      <c r="BS181" s="4" t="str">
        <f>IMDIV(IMSUB($BQ$100,$BR181),IMSUM($BQ$100,$BR181))</f>
        <v>-2.0748350878232E-002+1.24931025495865E-002i</v>
      </c>
      <c r="BT181" s="4">
        <f>IMABS($BS181)</f>
        <v>0.02421924184363985</v>
      </c>
      <c r="BU181" s="4">
        <f t="shared" si="13"/>
        <v>1.049640744893145</v>
      </c>
      <c r="BV181" s="4">
        <f t="shared" si="14"/>
        <v>-0.002548195841856168</v>
      </c>
    </row>
    <row r="182" spans="1:74" ht="12.75">
      <c r="A182" s="5">
        <v>79</v>
      </c>
      <c r="B182" s="5">
        <f t="shared" si="9"/>
        <v>15.600000000000001</v>
      </c>
      <c r="C182" s="4">
        <f t="shared" si="8"/>
        <v>2.4504422698000385</v>
      </c>
      <c r="D182" s="4">
        <f t="shared" si="10"/>
        <v>0.6374239897486899</v>
      </c>
      <c r="E182" s="5">
        <f t="shared" si="11"/>
        <v>-0.770513242775789</v>
      </c>
      <c r="F182" s="9" t="str">
        <f>IF($B$7&gt;0,COMPLEX($E182,0),1)</f>
        <v>-0.770513242775789</v>
      </c>
      <c r="G182" s="9" t="str">
        <f>IF($B$7&gt;0,COMPLEX(0,$D182*$B$16),0)</f>
        <v>76.2240004684092i</v>
      </c>
      <c r="H182" s="9" t="str">
        <f>IF($B$7&gt;0,COMPLEX(0,$D182/$B$16),0)</f>
        <v>5.33046468579842E-003i</v>
      </c>
      <c r="I182" s="9" t="str">
        <f>IF($B$7&gt;0,COMPLEX($E182,0),1)</f>
        <v>-0.770513242775789</v>
      </c>
      <c r="J182" s="9" t="str">
        <f>IF($B$7&gt;1,COMPLEX($E182,0),1)</f>
        <v>-0.770513242775789</v>
      </c>
      <c r="K182" s="9" t="str">
        <f>IF($B$7&gt;1,COMPLEX(0,$D182*$B$17),0)</f>
        <v>91.1496639732486i</v>
      </c>
      <c r="L182" s="9" t="str">
        <f>IF($B$7&gt;1,COMPLEX(0,$D182/$B$17),0)</f>
        <v>4.45760658894349E-003i</v>
      </c>
      <c r="M182" s="9" t="str">
        <f>IF($B$7&gt;1,COMPLEX($E182,0),1)</f>
        <v>-0.770513242775789</v>
      </c>
      <c r="N182" s="9" t="str">
        <f>IF($B$7&gt;2,COMPLEX($E182,0),1)</f>
        <v>-0.770513242775789</v>
      </c>
      <c r="O182" s="9" t="str">
        <f>IF($B$7&gt;2,COMPLEX(0,$D182*$B$18),0)</f>
        <v>108.997969030495i</v>
      </c>
      <c r="P182" s="9" t="str">
        <f>IF($B$7&gt;2,COMPLEX(0,$D182/$B$18),0)</f>
        <v>3.72767810557517E-003i</v>
      </c>
      <c r="Q182" s="9" t="str">
        <f>IF($B$7&gt;2,COMPLEX($E182,0),1)</f>
        <v>-0.770513242775789</v>
      </c>
      <c r="R182" s="9" t="str">
        <f>IF($B$7&gt;3,COMPLEX($E182,0),1)</f>
        <v>-0.770513242775789</v>
      </c>
      <c r="S182" s="9" t="str">
        <f>IF($B$7&gt;3,COMPLEX(0,$D182*$B$19),0)</f>
        <v>130.341207360453i</v>
      </c>
      <c r="T182" s="9" t="str">
        <f>IF($B$7&gt;3,COMPLEX(0,$D182/$B$19),0)</f>
        <v>3.11727465883837E-003i</v>
      </c>
      <c r="U182" s="9" t="str">
        <f>IF($B$7&gt;3,COMPLEX($E182,0),1)</f>
        <v>-0.770513242775789</v>
      </c>
      <c r="V182" s="9" t="str">
        <f>IF($B$7&gt;4,COMPLEX($E182,0),1)</f>
        <v>-0.770513242775789</v>
      </c>
      <c r="W182" s="9" t="str">
        <f>IF($B$7&gt;4,COMPLEX(0,$D182*$B$20),0)</f>
        <v>155.863732941919i</v>
      </c>
      <c r="X182" s="9" t="str">
        <f>IF($B$7&gt;4,COMPLEX(0,$D182/$B$20),0)</f>
        <v>2.60682414720906E-003i</v>
      </c>
      <c r="Y182" s="9" t="str">
        <f>IF($B$7&gt;4,COMPLEX($E182,0),1)</f>
        <v>-0.770513242775789</v>
      </c>
      <c r="Z182" s="9" t="str">
        <f>IF($B$7&gt;5,COMPLEX($E182,0),1)</f>
        <v>-0.770513242775789</v>
      </c>
      <c r="AA182" s="9" t="str">
        <f>IF($B$7&gt;5,COMPLEX(0,$D182*$B$21),0)</f>
        <v>186.383905278758i</v>
      </c>
      <c r="AB182" s="9" t="str">
        <f>IF($B$7&gt;5,COMPLEX(0,$D182/$B$21),0)</f>
        <v>2.17995938060991E-003i</v>
      </c>
      <c r="AC182" s="9" t="str">
        <f>IF($B$7&gt;5,COMPLEX($E182,0),1)</f>
        <v>-0.770513242775789</v>
      </c>
      <c r="AD182" s="9" t="str">
        <f>IF($B$7&gt;6,COMPLEX($E182,0),1)</f>
        <v>-0.770513242775789</v>
      </c>
      <c r="AE182" s="9" t="str">
        <f>IF($B$7&gt;6,COMPLEX(0,$D182*$B$22),0)</f>
        <v>222.880329447174i</v>
      </c>
      <c r="AF182" s="9" t="str">
        <f>IF($B$7&gt;6,COMPLEX(0,$D182/$B$22),0)</f>
        <v>1.82299327946497E-003i</v>
      </c>
      <c r="AG182" s="9" t="str">
        <f>IF($B$7&gt;6,COMPLEX($E182,0),1)</f>
        <v>-0.770513242775789</v>
      </c>
      <c r="AH182" s="9" t="str">
        <f>IF($B$7&gt;7,COMPLEX($E182,0),1)</f>
        <v>-0.770513242775789</v>
      </c>
      <c r="AI182" s="9" t="str">
        <f>IF($B$7&gt;7,COMPLEX(0,$D182*$B$23),0)</f>
        <v>266.523234289921i</v>
      </c>
      <c r="AJ182" s="9" t="str">
        <f>IF($B$7&gt;7,COMPLEX(0,$D182/$B$23),0)</f>
        <v>1.52448000936818E-003i</v>
      </c>
      <c r="AK182" s="9" t="str">
        <f>IF($B$7&gt;7,COMPLEX($E182,0),1)</f>
        <v>-0.770513242775789</v>
      </c>
      <c r="AL182" s="4" t="str">
        <f>IMSUM(IMPRODUCT(F182,J182),IMPRODUCT(G182,L182))</f>
        <v>0.25391405056925</v>
      </c>
      <c r="AM182" s="5" t="str">
        <f>IMSUM(IMPRODUCT(F182,K182),IMPRODUCT(G182,M182))</f>
        <v>-128.963624944209i</v>
      </c>
      <c r="AN182" s="5" t="str">
        <f>IMSUM(IMPRODUCT(H182,J182),IMPRODUCT(I182,L182))</f>
        <v>-7.54183853842194E-003i</v>
      </c>
      <c r="AO182" s="5" t="str">
        <f>IMSUM(IMPRODUCT(H182,K182),IMPRODUCT(I182,M182))</f>
        <v>0.107820592361068</v>
      </c>
      <c r="AP182" s="4" t="str">
        <f>IMSUM(IMPRODUCT(AL182,N182),IMPRODUCT(AM182,P182))</f>
        <v>0.285090742629688</v>
      </c>
      <c r="AQ182" s="5" t="str">
        <f>IMSUM(IMPRODUCT(AL182,O182),IMPRODUCT(AM182,Q182))</f>
        <v>127.044296676238i</v>
      </c>
      <c r="AR182" s="5" t="str">
        <f>IMSUM(IMPRODUCT(AN182,N182),IMPRODUCT(AO182,P182))</f>
        <v>6.21300693020541E-003i</v>
      </c>
      <c r="AS182" s="5" t="str">
        <f>IMSUM(IMPRODUCT(AN182,O182),IMPRODUCT(AO182,Q182))</f>
        <v>0.738967889185775</v>
      </c>
      <c r="AT182" s="4" t="str">
        <f>IMSUM(IMPRODUCT(AP182,R182),IMPRODUCT(AQ182,T182))</f>
        <v>-0.615698159167739</v>
      </c>
      <c r="AU182" s="5" t="str">
        <f>IMSUM(IMPRODUCT(AP182,S182),IMPRODUCT(AQ182,U182))</f>
        <v>-60.7302414065358i</v>
      </c>
      <c r="AV182" s="5" t="str">
        <f>IMSUM(IMPRODUCT(AR182,R182),IMPRODUCT(AS182,T182))</f>
        <v>-2.48363824252692E-003i</v>
      </c>
      <c r="AW182" s="5" t="str">
        <f>IMSUM(IMPRODUCT(AR182,S182),IMPRODUCT(AS182,U182))</f>
        <v>-1.37919536922555</v>
      </c>
      <c r="AX182" s="4" t="str">
        <f>IMSUM(IMPRODUCT(AT182,V182),IMPRODUCT(AU182,X182))</f>
        <v>0.632716644955811</v>
      </c>
      <c r="AY182" s="5" t="str">
        <f>IMSUM(IMPRODUCT(AT182,W182),IMPRODUCT(AU182,Y182))</f>
        <v>-49.1715582126452i</v>
      </c>
      <c r="AZ182" s="5" t="str">
        <f>IMSUM(IMPRODUCT(AV182,V182),IMPRODUCT(AW182,X182))</f>
        <v>-1.6816436360847E-003i</v>
      </c>
      <c r="BA182" s="5" t="str">
        <f>IMSUM(IMPRODUCT(AV182,W182),IMPRODUCT(AW182,Y182))</f>
        <v>1.44979742412088</v>
      </c>
      <c r="BB182" s="4" t="str">
        <f>IMSUM(IMPRODUCT(AX182,Z182),IMPRODUCT(AY182,AB182))</f>
        <v>-0.380324554278258</v>
      </c>
      <c r="BC182" s="5" t="str">
        <f>IMSUM(IMPRODUCT(AX182,AA182),IMPRODUCT(AY182,AC182))</f>
        <v>155.815535992501i</v>
      </c>
      <c r="BD182" s="5" t="str">
        <f>IMSUM(IMPRODUCT(AZ182,Z182),IMPRODUCT(BA182,AB182))</f>
        <v>4.45622818592929E-003i</v>
      </c>
      <c r="BE182" s="5" t="str">
        <f>IMSUM(IMPRODUCT(AZ182,AA182),IMPRODUCT(BA182,AC182))</f>
        <v>-0.803656806446733</v>
      </c>
      <c r="BF182" s="4" t="str">
        <f>IMSUM(IMPRODUCT(BB182,AD182),IMPRODUCT(BC182,AF182))</f>
        <v>8.99443067363598E-003</v>
      </c>
      <c r="BG182" s="5" t="str">
        <f>IMSUM(IMPRODUCT(BB182,AE182),IMPRODUCT(BC182,AG182))</f>
        <v>-204.824795866818i</v>
      </c>
      <c r="BH182" s="5" t="str">
        <f>IMSUM(IMPRODUCT(BD182,AD182),IMPRODUCT(BE182,AF182))</f>
        <v>-4.89864378723792E-003i</v>
      </c>
      <c r="BI182" s="5" t="str">
        <f>IMSUM(IMPRODUCT(BD182,AE182),IMPRODUCT(BE182,AG182))</f>
        <v>-0.373977394157596</v>
      </c>
      <c r="BJ182" s="4" t="str">
        <f>IMSUM(IMPRODUCT(BF182,AH182),IMPRODUCT(BG182,AJ182))</f>
        <v>0.305320978776617</v>
      </c>
      <c r="BK182" s="5" t="str">
        <f>IMSUM(IMPRODUCT(BF182,AI182),IMPRODUCT(BG182,AK182))</f>
        <v>160.217442417965i</v>
      </c>
      <c r="BL182" s="5" t="str">
        <f>IMSUM(IMPRODUCT(BH182,AH182),IMPRODUCT(BI182,AJ182))</f>
        <v>3.2043488483593E-003i</v>
      </c>
      <c r="BM182" s="5" t="str">
        <f>IMSUM(IMPRODUCT(BH182,AI182),IMPRODUCT(BI182,AK182))</f>
        <v>1.59375692050609</v>
      </c>
      <c r="BN182" s="4">
        <f t="shared" si="12"/>
        <v>500</v>
      </c>
      <c r="BO182" s="4">
        <v>1</v>
      </c>
      <c r="BP182" s="4" t="str">
        <f>IMSUM(IMPRODUCT($BJ182,$BN182),IMPRODUCT($BK182,$BO182))</f>
        <v>152.660489388309+160.217442417965i</v>
      </c>
      <c r="BQ182" s="4" t="str">
        <f>IMSUM(IMPRODUCT($BL182,$BN182),IMPRODUCT($BM182,$BO182))</f>
        <v>1.59375692050609+1.60217442417965i</v>
      </c>
      <c r="BR182" s="4" t="str">
        <f>IMDIV($BP182,$BQ182)</f>
        <v>97.9043762667564+2.10669187057741i</v>
      </c>
      <c r="BS182" s="4" t="str">
        <f>IMDIV(IMSUB($BQ$100,$BR182),IMSUM($BQ$100,$BR182))</f>
        <v>1.04745692833132E-002-1.07565006933702E-002i</v>
      </c>
      <c r="BT182" s="4">
        <f>IMABS($BS182)</f>
        <v>0.015013957134526594</v>
      </c>
      <c r="BU182" s="4">
        <f t="shared" si="13"/>
        <v>1.030485624122853</v>
      </c>
      <c r="BV182" s="4">
        <f t="shared" si="14"/>
        <v>-0.000979092239345997</v>
      </c>
    </row>
    <row r="183" spans="1:74" ht="12.75">
      <c r="A183" s="5">
        <v>80</v>
      </c>
      <c r="B183" s="5">
        <f t="shared" si="9"/>
        <v>15.8</v>
      </c>
      <c r="C183" s="4">
        <f t="shared" si="8"/>
        <v>2.4818581963359367</v>
      </c>
      <c r="D183" s="4">
        <f t="shared" si="10"/>
        <v>0.6129070536529764</v>
      </c>
      <c r="E183" s="5">
        <f t="shared" si="11"/>
        <v>-0.7901550123756904</v>
      </c>
      <c r="F183" s="9" t="str">
        <f>IF($B$7&gt;0,COMPLEX($E183,0),1)</f>
        <v>-0.79015501237569</v>
      </c>
      <c r="G183" s="9" t="str">
        <f>IF($B$7&gt;0,COMPLEX(0,$D183*$B$16),0)</f>
        <v>73.2922329502454i</v>
      </c>
      <c r="H183" s="9" t="str">
        <f>IF($B$7&gt;0,COMPLEX(0,$D183/$B$16),0)</f>
        <v>5.12544155494057E-003i</v>
      </c>
      <c r="I183" s="9" t="str">
        <f>IF($B$7&gt;0,COMPLEX($E183,0),1)</f>
        <v>-0.79015501237569</v>
      </c>
      <c r="J183" s="9" t="str">
        <f>IF($B$7&gt;1,COMPLEX($E183,0),1)</f>
        <v>-0.79015501237569</v>
      </c>
      <c r="K183" s="9" t="str">
        <f>IF($B$7&gt;1,COMPLEX(0,$D183*$B$17),0)</f>
        <v>87.6438177504559i</v>
      </c>
      <c r="L183" s="9" t="str">
        <f>IF($B$7&gt;1,COMPLEX(0,$D183/$B$17),0)</f>
        <v>4.28615578439494E-003i</v>
      </c>
      <c r="M183" s="9" t="str">
        <f>IF($B$7&gt;1,COMPLEX($E183,0),1)</f>
        <v>-0.79015501237569</v>
      </c>
      <c r="N183" s="9" t="str">
        <f>IF($B$7&gt;2,COMPLEX($E183,0),1)</f>
        <v>-0.79015501237569</v>
      </c>
      <c r="O183" s="9" t="str">
        <f>IF($B$7&gt;2,COMPLEX(0,$D183*$B$18),0)</f>
        <v>104.805631929507i</v>
      </c>
      <c r="P183" s="9" t="str">
        <f>IF($B$7&gt;2,COMPLEX(0,$D183/$B$18),0)</f>
        <v>3.58430219351418E-003i</v>
      </c>
      <c r="Q183" s="9" t="str">
        <f>IF($B$7&gt;2,COMPLEX($E183,0),1)</f>
        <v>-0.79015501237569</v>
      </c>
      <c r="R183" s="9" t="str">
        <f>IF($B$7&gt;3,COMPLEX($E183,0),1)</f>
        <v>-0.79015501237569</v>
      </c>
      <c r="S183" s="9" t="str">
        <f>IF($B$7&gt;3,COMPLEX(0,$D183*$B$19),0)</f>
        <v>125.327955423145i</v>
      </c>
      <c r="T183" s="9" t="str">
        <f>IF($B$7&gt;3,COMPLEX(0,$D183/$B$19),0)</f>
        <v>2.99737640456391E-003i</v>
      </c>
      <c r="U183" s="9" t="str">
        <f>IF($B$7&gt;3,COMPLEX($E183,0),1)</f>
        <v>-0.79015501237569</v>
      </c>
      <c r="V183" s="9" t="str">
        <f>IF($B$7&gt;4,COMPLEX($E183,0),1)</f>
        <v>-0.79015501237569</v>
      </c>
      <c r="W183" s="9" t="str">
        <f>IF($B$7&gt;4,COMPLEX(0,$D183*$B$20),0)</f>
        <v>149.868820228196i</v>
      </c>
      <c r="X183" s="9" t="str">
        <f>IF($B$7&gt;4,COMPLEX(0,$D183/$B$20),0)</f>
        <v>2.5065591084629E-003i</v>
      </c>
      <c r="Y183" s="9" t="str">
        <f>IF($B$7&gt;4,COMPLEX($E183,0),1)</f>
        <v>-0.79015501237569</v>
      </c>
      <c r="Z183" s="9" t="str">
        <f>IF($B$7&gt;5,COMPLEX($E183,0),1)</f>
        <v>-0.79015501237569</v>
      </c>
      <c r="AA183" s="9" t="str">
        <f>IF($B$7&gt;5,COMPLEX(0,$D183*$B$21),0)</f>
        <v>179.215109675709i</v>
      </c>
      <c r="AB183" s="9" t="str">
        <f>IF($B$7&gt;5,COMPLEX(0,$D183/$B$21),0)</f>
        <v>2.09611263859015E-003i</v>
      </c>
      <c r="AC183" s="9" t="str">
        <f>IF($B$7&gt;5,COMPLEX($E183,0),1)</f>
        <v>-0.79015501237569</v>
      </c>
      <c r="AD183" s="9" t="str">
        <f>IF($B$7&gt;6,COMPLEX($E183,0),1)</f>
        <v>-0.79015501237569</v>
      </c>
      <c r="AE183" s="9" t="str">
        <f>IF($B$7&gt;6,COMPLEX(0,$D183*$B$22),0)</f>
        <v>214.307789219747i</v>
      </c>
      <c r="AF183" s="9" t="str">
        <f>IF($B$7&gt;6,COMPLEX(0,$D183/$B$22),0)</f>
        <v>1.75287635500912E-003i</v>
      </c>
      <c r="AG183" s="9" t="str">
        <f>IF($B$7&gt;6,COMPLEX($E183,0),1)</f>
        <v>-0.79015501237569</v>
      </c>
      <c r="AH183" s="9" t="str">
        <f>IF($B$7&gt;7,COMPLEX($E183,0),1)</f>
        <v>-0.79015501237569</v>
      </c>
      <c r="AI183" s="9" t="str">
        <f>IF($B$7&gt;7,COMPLEX(0,$D183*$B$23),0)</f>
        <v>256.272077747029i</v>
      </c>
      <c r="AJ183" s="9" t="str">
        <f>IF($B$7&gt;7,COMPLEX(0,$D183/$B$23),0)</f>
        <v>1.46584465900491E-003i</v>
      </c>
      <c r="AK183" s="9" t="str">
        <f>IF($B$7&gt;7,COMPLEX($E183,0),1)</f>
        <v>-0.79015501237569</v>
      </c>
      <c r="AL183" s="4" t="str">
        <f>IMSUM(IMPRODUCT(F183,J183),IMPRODUCT(G183,L183))</f>
        <v>0.310203015371511</v>
      </c>
      <c r="AM183" s="5" t="str">
        <f>IMSUM(IMPRODUCT(F183,K183),IMPRODUCT(G183,M183))</f>
        <v>-127.164427133107i</v>
      </c>
      <c r="AN183" s="5" t="str">
        <f>IMSUM(IMPRODUCT(H183,J183),IMPRODUCT(I183,L183))</f>
        <v>-7.43662081213766E-003i</v>
      </c>
      <c r="AO183" s="5" t="str">
        <f>IMSUM(IMPRODUCT(H183,K183),IMPRODUCT(I183,M183))</f>
        <v>0.175131678050602</v>
      </c>
      <c r="AP183" s="4" t="str">
        <f>IMSUM(IMPRODUCT(AL183,N183),IMPRODUCT(AM183,P183))</f>
        <v>0.210687267660317</v>
      </c>
      <c r="AQ183" s="5" t="str">
        <f>IMSUM(IMPRODUCT(AL183,O183),IMPRODUCT(AM183,Q183))</f>
        <v>132.990632547558i</v>
      </c>
      <c r="AR183" s="5" t="str">
        <f>IMSUM(IMPRODUCT(AN183,N183),IMPRODUCT(AO183,P183))</f>
        <v>6.50380806763854E-003i</v>
      </c>
      <c r="AS183" s="5" t="str">
        <f>IMSUM(IMPRODUCT(AN183,O183),IMPRODUCT(AO183,Q183))</f>
        <v>0.641018570398762</v>
      </c>
      <c r="AT183" s="4" t="str">
        <f>IMSUM(IMPRODUCT(AP183,R183),IMPRODUCT(AQ183,T183))</f>
        <v>-0.565098584611617</v>
      </c>
      <c r="AU183" s="5" t="str">
        <f>IMSUM(IMPRODUCT(AP183,S183),IMPRODUCT(AQ183,U183))</f>
        <v>-78.6782104169106i</v>
      </c>
      <c r="AV183" s="5" t="str">
        <f>IMSUM(IMPRODUCT(AR183,R183),IMPRODUCT(AS183,T183))</f>
        <v>-3.2176426063735E-003i</v>
      </c>
      <c r="AW183" s="5" t="str">
        <f>IMSUM(IMPRODUCT(AR183,S183),IMPRODUCT(AS183,U183))</f>
        <v>-1.32161300400818</v>
      </c>
      <c r="AX183" s="4" t="str">
        <f>IMSUM(IMPRODUCT(AT183,V183),IMPRODUCT(AU183,X183))</f>
        <v>0.643727064075345</v>
      </c>
      <c r="AY183" s="5" t="str">
        <f>IMSUM(IMPRODUCT(AT183,W183),IMPRODUCT(AU183,Y183))</f>
        <v>-22.5226758626953i</v>
      </c>
      <c r="AZ183" s="5" t="str">
        <f>IMSUM(IMPRODUCT(AV183,V183),IMPRODUCT(AW183,X183))</f>
        <v>-7.7026467960012E-004i</v>
      </c>
      <c r="BA183" s="5" t="str">
        <f>IMSUM(IMPRODUCT(AV183,W183),IMPRODUCT(AW183,Y183))</f>
        <v>1.52650344087113</v>
      </c>
      <c r="BB183" s="4" t="str">
        <f>IMSUM(IMPRODUCT(AX183,Z183),IMPRODUCT(AY183,AB183))</f>
        <v>-0.461434100750356</v>
      </c>
      <c r="BC183" s="5" t="str">
        <f>IMSUM(IMPRODUCT(AX183,AA183),IMPRODUCT(AY183,AC183))</f>
        <v>133.162021614507i</v>
      </c>
      <c r="BD183" s="5" t="str">
        <f>IMSUM(IMPRODUCT(AZ183,Z183),IMPRODUCT(BA183,AB183))</f>
        <v>3.80835165270332E-003i</v>
      </c>
      <c r="BE183" s="5" t="str">
        <f>IMSUM(IMPRODUCT(AZ183,AA183),IMPRODUCT(BA183,AC183))</f>
        <v>-1.0681312761792</v>
      </c>
      <c r="BF183" s="4" t="str">
        <f>IMSUM(IMPRODUCT(BB183,AD183),IMPRODUCT(BC183,AF183))</f>
        <v>0.13118790851568</v>
      </c>
      <c r="BG183" s="5" t="str">
        <f>IMSUM(IMPRODUCT(BB183,AE183),IMPRODUCT(BC183,AG183))</f>
        <v>-204.107560839194i</v>
      </c>
      <c r="BH183" s="5" t="str">
        <f>IMSUM(IMPRODUCT(BD183,AD183),IMPRODUCT(BE183,AF183))</f>
        <v>-4.88149020533301E-003i</v>
      </c>
      <c r="BI183" s="5" t="str">
        <f>IMSUM(IMPRODUCT(BD183,AE183),IMPRODUCT(BE183,AG183))</f>
        <v>2.78298584860189E-002</v>
      </c>
      <c r="BJ183" s="4" t="str">
        <f>IMSUM(IMPRODUCT(BF183,AH183),IMPRODUCT(BG183,AJ183))</f>
        <v>0.195531194441904</v>
      </c>
      <c r="BK183" s="5" t="str">
        <f>IMSUM(IMPRODUCT(BF183,AI183),IMPRODUCT(BG183,AK183))</f>
        <v>194.896410151465i</v>
      </c>
      <c r="BL183" s="5" t="str">
        <f>IMSUM(IMPRODUCT(BH183,AH183),IMPRODUCT(BI183,AJ183))</f>
        <v>3.8979282030293E-003i</v>
      </c>
      <c r="BM183" s="5" t="str">
        <f>IMSUM(IMPRODUCT(BH183,AI183),IMPRODUCT(BI183,AK183))</f>
        <v>1.22899973524603</v>
      </c>
      <c r="BN183" s="4">
        <f t="shared" si="12"/>
        <v>500</v>
      </c>
      <c r="BO183" s="4">
        <v>1</v>
      </c>
      <c r="BP183" s="4" t="str">
        <f>IMSUM(IMPRODUCT($BJ183,$BN183),IMPRODUCT($BK183,$BO183))</f>
        <v>97.765597220952+194.896410151465i</v>
      </c>
      <c r="BQ183" s="4" t="str">
        <f>IMSUM(IMPRODUCT($BL183,$BN183),IMPRODUCT($BM183,$BO183))</f>
        <v>1.22899973524603+1.94896410151465i</v>
      </c>
      <c r="BR183" s="4" t="str">
        <f>IMDIV($BP183,$BQ183)</f>
        <v>94.1814436944143+9.22714386098552i</v>
      </c>
      <c r="BS183" s="4" t="str">
        <f>IMDIV(IMSUB($BQ$100,$BR183),IMSUM($BQ$100,$BR183))</f>
        <v>2.76441383544038E-002-4.88317530351504E-002i</v>
      </c>
      <c r="BT183" s="4">
        <f>IMABS($BS183)</f>
        <v>0.05611362125048909</v>
      </c>
      <c r="BU183" s="4">
        <f t="shared" si="13"/>
        <v>1.1188991016584648</v>
      </c>
      <c r="BV183" s="4">
        <f t="shared" si="14"/>
        <v>-0.013696371991753888</v>
      </c>
    </row>
    <row r="184" spans="1:74" ht="12.75">
      <c r="A184" s="5">
        <v>81</v>
      </c>
      <c r="B184" s="5">
        <f t="shared" si="9"/>
        <v>16</v>
      </c>
      <c r="C184" s="4">
        <f t="shared" si="8"/>
        <v>2.5132741228718345</v>
      </c>
      <c r="D184" s="4">
        <f t="shared" si="10"/>
        <v>0.5877852522924732</v>
      </c>
      <c r="E184" s="5">
        <f t="shared" si="11"/>
        <v>-0.8090169943749473</v>
      </c>
      <c r="F184" s="9" t="str">
        <f>IF($B$7&gt;0,COMPLEX($E184,0),1)</f>
        <v>-0.809016994374947</v>
      </c>
      <c r="G184" s="9" t="str">
        <f>IF($B$7&gt;0,COMPLEX(0,$D184*$B$16),0)</f>
        <v>70.2881348468382i</v>
      </c>
      <c r="H184" s="9" t="str">
        <f>IF($B$7&gt;0,COMPLEX(0,$D184/$B$16),0)</f>
        <v>4.91536023207006E-003i</v>
      </c>
      <c r="I184" s="9" t="str">
        <f>IF($B$7&gt;0,COMPLEX($E184,0),1)</f>
        <v>-0.809016994374947</v>
      </c>
      <c r="J184" s="9" t="str">
        <f>IF($B$7&gt;1,COMPLEX($E184,0),1)</f>
        <v>-0.809016994374947</v>
      </c>
      <c r="K184" s="9" t="str">
        <f>IF($B$7&gt;1,COMPLEX(0,$D184*$B$17),0)</f>
        <v>84.0514776609099i</v>
      </c>
      <c r="L184" s="9" t="str">
        <f>IF($B$7&gt;1,COMPLEX(0,$D184/$B$17),0)</f>
        <v>4.11047506156106E-003i</v>
      </c>
      <c r="M184" s="9" t="str">
        <f>IF($B$7&gt;1,COMPLEX($E184,0),1)</f>
        <v>-0.809016994374947</v>
      </c>
      <c r="N184" s="9" t="str">
        <f>IF($B$7&gt;2,COMPLEX($E184,0),1)</f>
        <v>-0.809016994374947</v>
      </c>
      <c r="O184" s="9" t="str">
        <f>IF($B$7&gt;2,COMPLEX(0,$D184*$B$18),0)</f>
        <v>100.509864323142i</v>
      </c>
      <c r="P184" s="9" t="str">
        <f>IF($B$7&gt;2,COMPLEX(0,$D184/$B$18),0)</f>
        <v>3.43738900792623E-003i</v>
      </c>
      <c r="Q184" s="9" t="str">
        <f>IF($B$7&gt;2,COMPLEX($E184,0),1)</f>
        <v>-0.809016994374947</v>
      </c>
      <c r="R184" s="9" t="str">
        <f>IF($B$7&gt;3,COMPLEX($E184,0),1)</f>
        <v>-0.809016994374947</v>
      </c>
      <c r="S184" s="9" t="str">
        <f>IF($B$7&gt;3,COMPLEX(0,$D184*$B$19),0)</f>
        <v>120.191019924862i</v>
      </c>
      <c r="T184" s="9" t="str">
        <f>IF($B$7&gt;3,COMPLEX(0,$D184/$B$19),0)</f>
        <v>2.87452010165579E-003i</v>
      </c>
      <c r="U184" s="9" t="str">
        <f>IF($B$7&gt;3,COMPLEX($E184,0),1)</f>
        <v>-0.809016994374947</v>
      </c>
      <c r="V184" s="9" t="str">
        <f>IF($B$7&gt;4,COMPLEX($E184,0),1)</f>
        <v>-0.809016994374947</v>
      </c>
      <c r="W184" s="9" t="str">
        <f>IF($B$7&gt;4,COMPLEX(0,$D184*$B$20),0)</f>
        <v>143.72600508279i</v>
      </c>
      <c r="X184" s="9" t="str">
        <f>IF($B$7&gt;4,COMPLEX(0,$D184/$B$20),0)</f>
        <v>2.40382039849723E-003i</v>
      </c>
      <c r="Y184" s="9" t="str">
        <f>IF($B$7&gt;4,COMPLEX($E184,0),1)</f>
        <v>-0.809016994374947</v>
      </c>
      <c r="Z184" s="9" t="str">
        <f>IF($B$7&gt;5,COMPLEX($E184,0),1)</f>
        <v>-0.809016994374947</v>
      </c>
      <c r="AA184" s="9" t="str">
        <f>IF($B$7&gt;5,COMPLEX(0,$D184*$B$21),0)</f>
        <v>171.869450396312i</v>
      </c>
      <c r="AB184" s="9" t="str">
        <f>IF($B$7&gt;5,COMPLEX(0,$D184/$B$21),0)</f>
        <v>2.01019728646285E-003i</v>
      </c>
      <c r="AC184" s="9" t="str">
        <f>IF($B$7&gt;5,COMPLEX($E184,0),1)</f>
        <v>-0.809016994374947</v>
      </c>
      <c r="AD184" s="9" t="str">
        <f>IF($B$7&gt;6,COMPLEX($E184,0),1)</f>
        <v>-0.809016994374947</v>
      </c>
      <c r="AE184" s="9" t="str">
        <f>IF($B$7&gt;6,COMPLEX(0,$D184*$B$22),0)</f>
        <v>205.523753078053i</v>
      </c>
      <c r="AF184" s="9" t="str">
        <f>IF($B$7&gt;6,COMPLEX(0,$D184/$B$22),0)</f>
        <v>1.6810295532182E-003i</v>
      </c>
      <c r="AG184" s="9" t="str">
        <f>IF($B$7&gt;6,COMPLEX($E184,0),1)</f>
        <v>-0.809016994374947</v>
      </c>
      <c r="AH184" s="9" t="str">
        <f>IF($B$7&gt;7,COMPLEX($E184,0),1)</f>
        <v>-0.809016994374947</v>
      </c>
      <c r="AI184" s="9" t="str">
        <f>IF($B$7&gt;7,COMPLEX(0,$D184*$B$23),0)</f>
        <v>245.768011603503i</v>
      </c>
      <c r="AJ184" s="9" t="str">
        <f>IF($B$7&gt;7,COMPLEX(0,$D184/$B$23),0)</f>
        <v>1.40576269693676E-003i</v>
      </c>
      <c r="AK184" s="9" t="str">
        <f>IF($B$7&gt;7,COMPLEX($E184,0),1)</f>
        <v>-0.809016994374947</v>
      </c>
      <c r="AL184" s="4" t="str">
        <f>IMSUM(IMPRODUCT(F184,J184),IMPRODUCT(G184,L184))</f>
        <v>0.365590871775904</v>
      </c>
      <c r="AM184" s="5" t="str">
        <f>IMSUM(IMPRODUCT(F184,K184),IMPRODUCT(G184,M184))</f>
        <v>-124.863369424012i</v>
      </c>
      <c r="AN184" s="5" t="str">
        <f>IMSUM(IMPRODUCT(H184,J184),IMPRODUCT(I184,L184))</f>
        <v>-7.30205414097676E-003i</v>
      </c>
      <c r="AO184" s="5" t="str">
        <f>IMSUM(IMPRODUCT(H184,K184),IMPRODUCT(I184,M184))</f>
        <v>0.241365206446311</v>
      </c>
      <c r="AP184" s="4" t="str">
        <f>IMSUM(IMPRODUCT(AL184,N184),IMPRODUCT(AM184,P184))</f>
        <v>0.133434745295673</v>
      </c>
      <c r="AQ184" s="5" t="str">
        <f>IMSUM(IMPRODUCT(AL184,O184),IMPRODUCT(AM184,Q184))</f>
        <v>137.762076758918i</v>
      </c>
      <c r="AR184" s="5" t="str">
        <f>IMSUM(IMPRODUCT(AN184,N184),IMPRODUCT(AO184,P184))</f>
        <v>6.73715200143055E-003i</v>
      </c>
      <c r="AS184" s="5" t="str">
        <f>IMSUM(IMPRODUCT(AN184,O184),IMPRODUCT(AO184,Q184))</f>
        <v>0.538659917123928</v>
      </c>
      <c r="AT184" s="4" t="str">
        <f>IMSUM(IMPRODUCT(AP184,R184),IMPRODUCT(AQ184,T184))</f>
        <v>-0.50395083547365</v>
      </c>
      <c r="AU184" s="5" t="str">
        <f>IMSUM(IMPRODUCT(AP184,S184),IMPRODUCT(AQ184,U184))</f>
        <v>-95.4142031478499i</v>
      </c>
      <c r="AV184" s="5" t="str">
        <f>IMSUM(IMPRODUCT(AR184,R184),IMPRODUCT(AS184,T184))</f>
        <v>-3.90208170311553E-003i</v>
      </c>
      <c r="AW184" s="5" t="str">
        <f>IMSUM(IMPRODUCT(AR184,S184),IMPRODUCT(AS184,U184))</f>
        <v>-1.24553019758262</v>
      </c>
      <c r="AX184" s="4" t="str">
        <f>IMSUM(IMPRODUCT(AT184,V184),IMPRODUCT(AU184,X184))</f>
        <v>0.637063398060796</v>
      </c>
      <c r="AY184" s="5" t="str">
        <f>IMSUM(IMPRODUCT(AT184,W184),IMPRODUCT(AU184,Y184))</f>
        <v>4.760871510592i</v>
      </c>
      <c r="AZ184" s="5" t="str">
        <f>IMSUM(IMPRODUCT(AV184,V184),IMPRODUCT(AW184,X184))</f>
        <v>1.6281951536661E-004i</v>
      </c>
      <c r="BA184" s="5" t="str">
        <f>IMSUM(IMPRODUCT(AV184,W184),IMPRODUCT(AW184,Y184))</f>
        <v>1.56848571154698</v>
      </c>
      <c r="BB184" s="4" t="str">
        <f>IMSUM(IMPRODUCT(AX184,Z184),IMPRODUCT(AY184,AB184))</f>
        <v>-0.524965406517226</v>
      </c>
      <c r="BC184" s="5" t="str">
        <f>IMSUM(IMPRODUCT(AX184,AA184),IMPRODUCT(AY184,AC184))</f>
        <v>105.640110132212i</v>
      </c>
      <c r="BD184" s="5" t="str">
        <f>IMSUM(IMPRODUCT(AZ184,Z184),IMPRODUCT(BA184,AB184))</f>
        <v>3.02124196626001E-003i</v>
      </c>
      <c r="BE184" s="5" t="str">
        <f>IMSUM(IMPRODUCT(AZ184,AA184),IMPRODUCT(BA184,AC184))</f>
        <v>-1.29691529669564</v>
      </c>
      <c r="BF184" s="4" t="str">
        <f>IMSUM(IMPRODUCT(BB184,AD184),IMPRODUCT(BC184,AF184))</f>
        <v>0.247121788193914</v>
      </c>
      <c r="BG184" s="5" t="str">
        <f>IMSUM(IMPRODUCT(BB184,AE184),IMPRODUCT(BC184,AG184))</f>
        <v>-193.357504968167i</v>
      </c>
      <c r="BH184" s="5" t="str">
        <f>IMSUM(IMPRODUCT(BD184,AD184),IMPRODUCT(BE184,AF184))</f>
        <v>-4.62438903658925E-003i</v>
      </c>
      <c r="BI184" s="5" t="str">
        <f>IMSUM(IMPRODUCT(BD184,AE184),IMPRODUCT(BE184,AG184))</f>
        <v>0.428289527428926</v>
      </c>
      <c r="BJ184" s="4" t="str">
        <f>IMSUM(IMPRODUCT(BF184,AH184),IMPRODUCT(BG184,AJ184))</f>
        <v>7.188904132781E-002</v>
      </c>
      <c r="BK184" s="5" t="str">
        <f>IMSUM(IMPRODUCT(BF184,AI184),IMPRODUCT(BG184,AK184))</f>
        <v>217.164138017505i</v>
      </c>
      <c r="BL184" s="5" t="str">
        <f>IMSUM(IMPRODUCT(BH184,AH184),IMPRODUCT(BI184,AJ184))</f>
        <v>4.34328276035015E-003i</v>
      </c>
      <c r="BM184" s="5" t="str">
        <f>IMSUM(IMPRODUCT(BH184,AI184),IMPRODUCT(BI184,AK184))</f>
        <v>0.790033392200764</v>
      </c>
      <c r="BN184" s="4">
        <f t="shared" si="12"/>
        <v>500</v>
      </c>
      <c r="BO184" s="4">
        <v>1</v>
      </c>
      <c r="BP184" s="4" t="str">
        <f>IMSUM(IMPRODUCT($BJ184,$BN184),IMPRODUCT($BK184,$BO184))</f>
        <v>35.944520663905+217.164138017505i</v>
      </c>
      <c r="BQ184" s="4" t="str">
        <f>IMSUM(IMPRODUCT($BL184,$BN184),IMPRODUCT($BM184,$BO184))</f>
        <v>0.790033392200764+2.17164138017508i</v>
      </c>
      <c r="BR184" s="4" t="str">
        <f>IMDIV($BP184,$BQ184)</f>
        <v>93.6298194869131+17.5103327757645i</v>
      </c>
      <c r="BS184" s="4" t="str">
        <f>IMDIV(IMSUB($BQ$100,$BR184),IMSUM($BQ$100,$BR184))</f>
        <v>2.45202845891215E-002-9.26494233492221E-002i</v>
      </c>
      <c r="BT184" s="4">
        <f>IMABS($BS184)</f>
        <v>0.0958392404147429</v>
      </c>
      <c r="BU184" s="4">
        <f t="shared" si="13"/>
        <v>1.2119960181831047</v>
      </c>
      <c r="BV184" s="4">
        <f t="shared" si="14"/>
        <v>-0.04007497362316617</v>
      </c>
    </row>
    <row r="185" spans="1:74" ht="12.75">
      <c r="A185" s="5">
        <v>82</v>
      </c>
      <c r="B185" s="5">
        <f t="shared" si="9"/>
        <v>16.2</v>
      </c>
      <c r="C185" s="4">
        <f t="shared" si="8"/>
        <v>2.5446900494077322</v>
      </c>
      <c r="D185" s="4">
        <f t="shared" si="10"/>
        <v>0.5620833778521308</v>
      </c>
      <c r="E185" s="5">
        <f t="shared" si="11"/>
        <v>-0.8270805742745617</v>
      </c>
      <c r="F185" s="9" t="str">
        <f>IF($B$7&gt;0,COMPLEX($E185,0),1)</f>
        <v>-0.827080574274562</v>
      </c>
      <c r="G185" s="9" t="str">
        <f>IF($B$7&gt;0,COMPLEX(0,$D185*$B$16),0)</f>
        <v>67.2146708403265i</v>
      </c>
      <c r="H185" s="9" t="str">
        <f>IF($B$7&gt;0,COMPLEX(0,$D185/$B$16),0)</f>
        <v>4.70042804208913E-003i</v>
      </c>
      <c r="I185" s="9" t="str">
        <f>IF($B$7&gt;0,COMPLEX($E185,0),1)</f>
        <v>-0.827080574274562</v>
      </c>
      <c r="J185" s="9" t="str">
        <f>IF($B$7&gt;1,COMPLEX($E185,0),1)</f>
        <v>-0.827080574274562</v>
      </c>
      <c r="K185" s="9" t="str">
        <f>IF($B$7&gt;1,COMPLEX(0,$D185*$B$17),0)</f>
        <v>80.3761889105705i</v>
      </c>
      <c r="L185" s="9" t="str">
        <f>IF($B$7&gt;1,COMPLEX(0,$D185/$B$17),0)</f>
        <v>3.93073779610508E-003i</v>
      </c>
      <c r="M185" s="9" t="str">
        <f>IF($B$7&gt;1,COMPLEX($E185,0),1)</f>
        <v>-0.827080574274562</v>
      </c>
      <c r="N185" s="9" t="str">
        <f>IF($B$7&gt;2,COMPLEX($E185,0),1)</f>
        <v>-0.827080574274562</v>
      </c>
      <c r="O185" s="9" t="str">
        <f>IF($B$7&gt;2,COMPLEX(0,$D185*$B$18),0)</f>
        <v>96.1149056153933i</v>
      </c>
      <c r="P185" s="9" t="str">
        <f>IF($B$7&gt;2,COMPLEX(0,$D185/$B$18),0)</f>
        <v>3.28708353438847E-003i</v>
      </c>
      <c r="Q185" s="9" t="str">
        <f>IF($B$7&gt;2,COMPLEX($E185,0),1)</f>
        <v>-0.827080574274562</v>
      </c>
      <c r="R185" s="9" t="str">
        <f>IF($B$7&gt;3,COMPLEX($E185,0),1)</f>
        <v>-0.827080574274562</v>
      </c>
      <c r="S185" s="9" t="str">
        <f>IF($B$7&gt;3,COMPLEX(0,$D185*$B$19),0)</f>
        <v>114.93547040075i</v>
      </c>
      <c r="T185" s="9" t="str">
        <f>IF($B$7&gt;3,COMPLEX(0,$D185/$B$19),0)</f>
        <v>2.74882699445236E-003i</v>
      </c>
      <c r="U185" s="9" t="str">
        <f>IF($B$7&gt;3,COMPLEX($E185,0),1)</f>
        <v>-0.827080574274562</v>
      </c>
      <c r="V185" s="9" t="str">
        <f>IF($B$7&gt;4,COMPLEX($E185,0),1)</f>
        <v>-0.827080574274562</v>
      </c>
      <c r="W185" s="9" t="str">
        <f>IF($B$7&gt;4,COMPLEX(0,$D185*$B$20),0)</f>
        <v>137.441349722618i</v>
      </c>
      <c r="X185" s="9" t="str">
        <f>IF($B$7&gt;4,COMPLEX(0,$D185/$B$20),0)</f>
        <v>2.298709408015E-003i</v>
      </c>
      <c r="Y185" s="9" t="str">
        <f>IF($B$7&gt;4,COMPLEX($E185,0),1)</f>
        <v>-0.827080574274562</v>
      </c>
      <c r="Z185" s="9" t="str">
        <f>IF($B$7&gt;5,COMPLEX($E185,0),1)</f>
        <v>-0.827080574274562</v>
      </c>
      <c r="AA185" s="9" t="str">
        <f>IF($B$7&gt;5,COMPLEX(0,$D185*$B$21),0)</f>
        <v>164.354176719423i</v>
      </c>
      <c r="AB185" s="9" t="str">
        <f>IF($B$7&gt;5,COMPLEX(0,$D185/$B$21),0)</f>
        <v>1.92229811230787E-003i</v>
      </c>
      <c r="AC185" s="9" t="str">
        <f>IF($B$7&gt;5,COMPLEX($E185,0),1)</f>
        <v>-0.827080574274562</v>
      </c>
      <c r="AD185" s="9" t="str">
        <f>IF($B$7&gt;6,COMPLEX($E185,0),1)</f>
        <v>-0.827080574274562</v>
      </c>
      <c r="AE185" s="9" t="str">
        <f>IF($B$7&gt;6,COMPLEX(0,$D185*$B$22),0)</f>
        <v>196.536889805254i</v>
      </c>
      <c r="AF185" s="9" t="str">
        <f>IF($B$7&gt;6,COMPLEX(0,$D185/$B$22),0)</f>
        <v>1.60752377821141E-003i</v>
      </c>
      <c r="AG185" s="9" t="str">
        <f>IF($B$7&gt;6,COMPLEX($E185,0),1)</f>
        <v>-0.827080574274562</v>
      </c>
      <c r="AH185" s="9" t="str">
        <f>IF($B$7&gt;7,COMPLEX($E185,0),1)</f>
        <v>-0.827080574274562</v>
      </c>
      <c r="AI185" s="9" t="str">
        <f>IF($B$7&gt;7,COMPLEX(0,$D185*$B$23),0)</f>
        <v>235.021402104456i</v>
      </c>
      <c r="AJ185" s="9" t="str">
        <f>IF($B$7&gt;7,COMPLEX(0,$D185/$B$23),0)</f>
        <v>1.34429341680653E-003i</v>
      </c>
      <c r="AK185" s="9" t="str">
        <f>IF($B$7&gt;7,COMPLEX($E185,0),1)</f>
        <v>-0.827080574274562</v>
      </c>
      <c r="AL185" s="4" t="str">
        <f>IMSUM(IMPRODUCT(F185,J185),IMPRODUCT(G185,L185))</f>
        <v>0.419859029217506</v>
      </c>
      <c r="AM185" s="5" t="str">
        <f>IMSUM(IMPRODUCT(F185,K185),IMPRODUCT(G185,M185))</f>
        <v>-122.069533040448i</v>
      </c>
      <c r="AN185" s="5" t="str">
        <f>IMSUM(IMPRODUCT(H185,J185),IMPRODUCT(I185,L185))</f>
        <v>-7.13866959811265E-003i</v>
      </c>
      <c r="AO185" s="5" t="str">
        <f>IMSUM(IMPRODUCT(H185,K185),IMPRODUCT(I185,M185))</f>
        <v>0.30625978407084</v>
      </c>
      <c r="AP185" s="4" t="str">
        <f>IMSUM(IMPRODUCT(AL185,N185),IMPRODUCT(AM185,P185))</f>
        <v>5.3995505108171E-002</v>
      </c>
      <c r="AQ185" s="5" t="str">
        <f>IMSUM(IMPRODUCT(AL185,O185),IMPRODUCT(AM185,Q185))</f>
        <v>141.316050453532i</v>
      </c>
      <c r="AR185" s="5" t="str">
        <f>IMSUM(IMPRODUCT(AN185,N185),IMPRODUCT(AO185,P185))</f>
        <v>6.910956444228E-003i</v>
      </c>
      <c r="AS185" s="5" t="str">
        <f>IMSUM(IMPRODUCT(AN185,O185),IMPRODUCT(AO185,Q185))</f>
        <v>0.432831036555561</v>
      </c>
      <c r="AT185" s="4" t="str">
        <f>IMSUM(IMPRODUCT(AP185,R185),IMPRODUCT(AQ185,T185))</f>
        <v>-0.433112007609171</v>
      </c>
      <c r="AU185" s="5" t="str">
        <f>IMSUM(IMPRODUCT(AP185,S185),IMPRODUCT(AQ185,U185))</f>
        <v>-110.673761384186i</v>
      </c>
      <c r="AV185" s="5" t="str">
        <f>IMSUM(IMPRODUCT(AR185,R185),IMPRODUCT(AS185,T185))</f>
        <v>-4.52614018735786E-003i</v>
      </c>
      <c r="AW185" s="5" t="str">
        <f>IMSUM(IMPRODUCT(AR185,S185),IMPRODUCT(AS185,U185))</f>
        <v>-1.15230017211467</v>
      </c>
      <c r="AX185" s="4" t="str">
        <f>IMSUM(IMPRODUCT(AT185,V185),IMPRODUCT(AU185,X185))</f>
        <v>0.612625344492838</v>
      </c>
      <c r="AY185" s="5" t="str">
        <f>IMSUM(IMPRODUCT(AT185,W185),IMPRODUCT(AU185,Y185))</f>
        <v>32.0086192158811i</v>
      </c>
      <c r="AZ185" s="5" t="str">
        <f>IMSUM(IMPRODUCT(AV185,V185),IMPRODUCT(AW185,X185))</f>
        <v>1.09467937890981E-003i</v>
      </c>
      <c r="BA185" s="5" t="str">
        <f>IMSUM(IMPRODUCT(AV185,W185),IMPRODUCT(AW185,Y185))</f>
        <v>1.57512390447353</v>
      </c>
      <c r="BB185" s="4" t="str">
        <f>IMSUM(IMPRODUCT(AX185,Z185),IMPRODUCT(AY185,AB185))</f>
        <v>-0.568220630034558</v>
      </c>
      <c r="BC185" s="5" t="str">
        <f>IMSUM(IMPRODUCT(AX185,AA185),IMPRODUCT(AY185,AC185))</f>
        <v>74.2138269687663i</v>
      </c>
      <c r="BD185" s="5" t="str">
        <f>IMSUM(IMPRODUCT(AZ185,Z185),IMPRODUCT(BA185,AB185))</f>
        <v>2.12246965886522E-003i</v>
      </c>
      <c r="BE185" s="5" t="str">
        <f>IMSUM(IMPRODUCT(AZ185,AA185),IMPRODUCT(BA185,AC185))</f>
        <v>-1.48266951155801</v>
      </c>
      <c r="BF185" s="4" t="str">
        <f>IMSUM(IMPRODUCT(BB185,AD185),IMPRODUCT(BC185,AF185))</f>
        <v>0.350663753479277</v>
      </c>
      <c r="BG185" s="5" t="str">
        <f>IMSUM(IMPRODUCT(BB185,AE185),IMPRODUCT(BC185,AG185))</f>
        <v>-173.057129978614i</v>
      </c>
      <c r="BH185" s="5" t="str">
        <f>IMSUM(IMPRODUCT(BD185,AD185),IMPRODUCT(BE185,AF185))</f>
        <v>-4.13887991939318E-003i</v>
      </c>
      <c r="BI185" s="5" t="str">
        <f>IMSUM(IMPRODUCT(BD185,AE185),IMPRODUCT(BE185,AG185))</f>
        <v>0.809143565619391</v>
      </c>
      <c r="BJ185" s="4" t="str">
        <f>IMSUM(IMPRODUCT(BF185,AH185),IMPRODUCT(BG185,AJ185))</f>
        <v>-5.7387618043231E-002</v>
      </c>
      <c r="BK185" s="5" t="str">
        <f>IMSUM(IMPRODUCT(BF185,AI185),IMPRODUCT(BG185,AK185))</f>
        <v>225.545677454931i</v>
      </c>
      <c r="BL185" s="5" t="str">
        <f>IMSUM(IMPRODUCT(BH185,AH185),IMPRODUCT(BI185,AJ185))</f>
        <v>4.51091354909867E-003i</v>
      </c>
      <c r="BM185" s="5" t="str">
        <f>IMSUM(IMPRODUCT(BH185,AI185),IMPRODUCT(BI185,AK185))</f>
        <v>0.30349843687471</v>
      </c>
      <c r="BN185" s="4">
        <f t="shared" si="12"/>
        <v>500</v>
      </c>
      <c r="BO185" s="4">
        <v>1</v>
      </c>
      <c r="BP185" s="4" t="str">
        <f>IMSUM(IMPRODUCT($BJ185,$BN185),IMPRODUCT($BK185,$BO185))</f>
        <v>-28.6938090216155+225.545677454931i</v>
      </c>
      <c r="BQ185" s="4" t="str">
        <f>IMSUM(IMPRODUCT($BL185,$BN185),IMPRODUCT($BM185,$BO185))</f>
        <v>0.30349843687471+2.25545677454934i</v>
      </c>
      <c r="BR185" s="4" t="str">
        <f>IMDIV($BP185,$BQ185)</f>
        <v>96.5400702432407+25.7125607950529i</v>
      </c>
      <c r="BS185" s="4" t="str">
        <f>IMDIV(IMSUB($BQ$100,$BR185),IMSUM($BQ$100,$BR185))</f>
        <v>4.80515918556381E-004-0.130888912667957i</v>
      </c>
      <c r="BT185" s="4">
        <f>IMABS($BS185)</f>
        <v>0.13088979469365847</v>
      </c>
      <c r="BU185" s="4">
        <f t="shared" si="13"/>
        <v>1.3012041370461709</v>
      </c>
      <c r="BV185" s="4">
        <f t="shared" si="14"/>
        <v>-0.0750486550034343</v>
      </c>
    </row>
    <row r="186" spans="1:74" ht="12.75">
      <c r="A186" s="5">
        <v>83</v>
      </c>
      <c r="B186" s="5">
        <f t="shared" si="9"/>
        <v>16.400000000000002</v>
      </c>
      <c r="C186" s="4">
        <f t="shared" si="8"/>
        <v>2.5761059759436304</v>
      </c>
      <c r="D186" s="4">
        <f t="shared" si="10"/>
        <v>0.5358267949789967</v>
      </c>
      <c r="E186" s="5">
        <f t="shared" si="11"/>
        <v>-0.8443279255020151</v>
      </c>
      <c r="F186" s="9" t="str">
        <f>IF($B$7&gt;0,COMPLEX($E186,0),1)</f>
        <v>-0.844327925502015</v>
      </c>
      <c r="G186" s="9" t="str">
        <f>IF($B$7&gt;0,COMPLEX(0,$D186*$B$16),0)</f>
        <v>64.074874068621i</v>
      </c>
      <c r="H186" s="9" t="str">
        <f>IF($B$7&gt;0,COMPLEX(0,$D186/$B$16),0)</f>
        <v>4.4808570971202E-003i</v>
      </c>
      <c r="I186" s="9" t="str">
        <f>IF($B$7&gt;0,COMPLEX($E186,0),1)</f>
        <v>-0.844327925502015</v>
      </c>
      <c r="J186" s="9" t="str">
        <f>IF($B$7&gt;1,COMPLEX($E186,0),1)</f>
        <v>-0.844327925502015</v>
      </c>
      <c r="K186" s="9" t="str">
        <f>IF($B$7&gt;1,COMPLEX(0,$D186*$B$17),0)</f>
        <v>76.6215785657112i</v>
      </c>
      <c r="L186" s="9" t="str">
        <f>IF($B$7&gt;1,COMPLEX(0,$D186/$B$17),0)</f>
        <v>3.74712136700807E-003i</v>
      </c>
      <c r="M186" s="9" t="str">
        <f>IF($B$7&gt;1,COMPLEX($E186,0),1)</f>
        <v>-0.844327925502015</v>
      </c>
      <c r="N186" s="9" t="str">
        <f>IF($B$7&gt;2,COMPLEX($E186,0),1)</f>
        <v>-0.844327925502015</v>
      </c>
      <c r="O186" s="9" t="str">
        <f>IF($B$7&gt;2,COMPLEX(0,$D186*$B$18),0)</f>
        <v>91.625093099895i</v>
      </c>
      <c r="P186" s="9" t="str">
        <f>IF($B$7&gt;2,COMPLEX(0,$D186/$B$18),0)</f>
        <v>3.13353410625667E-003i</v>
      </c>
      <c r="Q186" s="9" t="str">
        <f>IF($B$7&gt;2,COMPLEX($E186,0),1)</f>
        <v>-0.844327925502015</v>
      </c>
      <c r="R186" s="9" t="str">
        <f>IF($B$7&gt;3,COMPLEX($E186,0),1)</f>
        <v>-0.844327925502015</v>
      </c>
      <c r="S186" s="9" t="str">
        <f>IF($B$7&gt;3,COMPLEX(0,$D186*$B$19),0)</f>
        <v>109.56649344368i</v>
      </c>
      <c r="T186" s="9" t="str">
        <f>IF($B$7&gt;3,COMPLEX(0,$D186/$B$19),0)</f>
        <v>2.6204211268753E-003i</v>
      </c>
      <c r="U186" s="9" t="str">
        <f>IF($B$7&gt;3,COMPLEX($E186,0),1)</f>
        <v>-0.844327925502015</v>
      </c>
      <c r="V186" s="9" t="str">
        <f>IF($B$7&gt;4,COMPLEX($E186,0),1)</f>
        <v>-0.844327925502015</v>
      </c>
      <c r="W186" s="9" t="str">
        <f>IF($B$7&gt;4,COMPLEX(0,$D186*$B$20),0)</f>
        <v>131.021056343765i</v>
      </c>
      <c r="X186" s="9" t="str">
        <f>IF($B$7&gt;4,COMPLEX(0,$D186/$B$20),0)</f>
        <v>2.19132986887361E-003i</v>
      </c>
      <c r="Y186" s="9" t="str">
        <f>IF($B$7&gt;4,COMPLEX($E186,0),1)</f>
        <v>-0.844327925502015</v>
      </c>
      <c r="Z186" s="9" t="str">
        <f>IF($B$7&gt;5,COMPLEX($E186,0),1)</f>
        <v>-0.844327925502015</v>
      </c>
      <c r="AA186" s="9" t="str">
        <f>IF($B$7&gt;5,COMPLEX(0,$D186*$B$21),0)</f>
        <v>156.676705312833i</v>
      </c>
      <c r="AB186" s="9" t="str">
        <f>IF($B$7&gt;5,COMPLEX(0,$D186/$B$21),0)</f>
        <v>1.8325018619979E-003i</v>
      </c>
      <c r="AC186" s="9" t="str">
        <f>IF($B$7&gt;5,COMPLEX($E186,0),1)</f>
        <v>-0.844327925502015</v>
      </c>
      <c r="AD186" s="9" t="str">
        <f>IF($B$7&gt;6,COMPLEX($E186,0),1)</f>
        <v>-0.844327925502015</v>
      </c>
      <c r="AE186" s="9" t="str">
        <f>IF($B$7&gt;6,COMPLEX(0,$D186*$B$22),0)</f>
        <v>187.356068350403i</v>
      </c>
      <c r="AF186" s="9" t="str">
        <f>IF($B$7&gt;6,COMPLEX(0,$D186/$B$22),0)</f>
        <v>1.53243157131422E-003i</v>
      </c>
      <c r="AG186" s="9" t="str">
        <f>IF($B$7&gt;6,COMPLEX($E186,0),1)</f>
        <v>-0.844327925502015</v>
      </c>
      <c r="AH186" s="9" t="str">
        <f>IF($B$7&gt;7,COMPLEX($E186,0),1)</f>
        <v>-0.844327925502015</v>
      </c>
      <c r="AI186" s="9" t="str">
        <f>IF($B$7&gt;7,COMPLEX(0,$D186*$B$23),0)</f>
        <v>224.04285485601i</v>
      </c>
      <c r="AJ186" s="9" t="str">
        <f>IF($B$7&gt;7,COMPLEX(0,$D186/$B$23),0)</f>
        <v>1.28149748137242E-003i</v>
      </c>
      <c r="AK186" s="9" t="str">
        <f>IF($B$7&gt;7,COMPLEX($E186,0),1)</f>
        <v>-0.844327925502015</v>
      </c>
      <c r="AL186" s="4" t="str">
        <f>IMSUM(IMPRODUCT(F186,J186),IMPRODUCT(G186,L186))</f>
        <v>0.472793316071655</v>
      </c>
      <c r="AM186" s="5" t="str">
        <f>IMSUM(IMPRODUCT(F186,K186),IMPRODUCT(G186,M186))</f>
        <v>-118.793943978238i</v>
      </c>
      <c r="AN186" s="5" t="str">
        <f>IMSUM(IMPRODUCT(H186,J186),IMPRODUCT(I186,L186))</f>
        <v>-6.94711198769268E-003i</v>
      </c>
      <c r="AO186" s="5" t="str">
        <f>IMSUM(IMPRODUCT(H186,K186),IMPRODUCT(I186,M186))</f>
        <v>0.369559301673816</v>
      </c>
      <c r="AP186" s="4" t="str">
        <f>IMSUM(IMPRODUCT(AL186,N186),IMPRODUCT(AM186,P186))</f>
        <v>-2.6947724677446E-002</v>
      </c>
      <c r="AQ186" s="5" t="str">
        <f>IMSUM(IMPRODUCT(AL186,O186),IMPRODUCT(AM186,Q186))</f>
        <v>143.620775883422i</v>
      </c>
      <c r="AR186" s="5" t="str">
        <f>IMSUM(IMPRODUCT(AN186,N186),IMPRODUCT(AO186,P186))</f>
        <v>7.02366732887804E-003i</v>
      </c>
      <c r="AS186" s="5" t="str">
        <f>IMSUM(IMPRODUCT(AN186,O186),IMPRODUCT(AO186,Q186))</f>
        <v>0.324500544115512</v>
      </c>
      <c r="AT186" s="4" t="str">
        <f>IMSUM(IMPRODUCT(AP186,R186),IMPRODUCT(AQ186,T186))</f>
        <v>-0.353594198909235</v>
      </c>
      <c r="AU186" s="5" t="str">
        <f>IMSUM(IMPRODUCT(AP186,S186),IMPRODUCT(AQ186,U186))</f>
        <v>-124.215599459833i</v>
      </c>
      <c r="AV186" s="5" t="str">
        <f>IMSUM(IMPRODUCT(AR186,R186),IMPRODUCT(AS186,T186))</f>
        <v>-5.07995038372505E-003i</v>
      </c>
      <c r="AW186" s="5" t="str">
        <f>IMSUM(IMPRODUCT(AR186,S186),IMPRODUCT(AS186,U186))</f>
        <v>-1.04354347157743</v>
      </c>
      <c r="AX186" s="4" t="str">
        <f>IMSUM(IMPRODUCT(AT186,V186),IMPRODUCT(AU186,X186))</f>
        <v>0.570746809710954</v>
      </c>
      <c r="AY186" s="5" t="str">
        <f>IMSUM(IMPRODUCT(AT186,W186),IMPRODUCT(AU186,Y186))</f>
        <v>58.5504139487947i</v>
      </c>
      <c r="AZ186" s="5" t="str">
        <f>IMSUM(IMPRODUCT(AV186,V186),IMPRODUCT(AW186,X186))</f>
        <v>2.00239599040806E-003i</v>
      </c>
      <c r="BA186" s="5" t="str">
        <f>IMSUM(IMPRODUCT(AV186,W186),IMPRODUCT(AW186,Y186))</f>
        <v>1.54667335997771</v>
      </c>
      <c r="BB186" s="4" t="str">
        <f>IMSUM(IMPRODUCT(AX186,Z186),IMPRODUCT(AY186,AB186))</f>
        <v>-0.589191212412057</v>
      </c>
      <c r="BC186" s="5" t="str">
        <f>IMSUM(IMPRODUCT(AX186,AA186),IMPRODUCT(AY186,AC186))</f>
        <v>39.9869801666526i</v>
      </c>
      <c r="BD186" s="5" t="str">
        <f>IMSUM(IMPRODUCT(AZ186,Z186),IMPRODUCT(BA186,AB186))</f>
        <v>1.14360295944691E-003i</v>
      </c>
      <c r="BE186" s="5" t="str">
        <f>IMSUM(IMPRODUCT(AZ186,AA186),IMPRODUCT(BA186,AC186))</f>
        <v>-1.61962831596797</v>
      </c>
      <c r="BF186" s="4" t="str">
        <f>IMSUM(IMPRODUCT(BB186,AD186),IMPRODUCT(BC186,AF186))</f>
        <v>0.436193283250995</v>
      </c>
      <c r="BG186" s="5" t="str">
        <f>IMSUM(IMPRODUCT(BB186,AE186),IMPRODUCT(BC186,AG186))</f>
        <v>-144.15067307533i</v>
      </c>
      <c r="BH186" s="5" t="str">
        <f>IMSUM(IMPRODUCT(BD186,AD186),IMPRODUCT(BE186,AF186))</f>
        <v>-3.44754547953157E-003i</v>
      </c>
      <c r="BI186" s="5" t="str">
        <f>IMSUM(IMPRODUCT(BD186,AE186),IMPRODUCT(BE186,AG186))</f>
        <v>1.1532364618697</v>
      </c>
      <c r="BJ186" s="4" t="str">
        <f>IMSUM(IMPRODUCT(BF186,AH186),IMPRODUCT(BG186,AJ186))</f>
        <v>-0.183561445481051</v>
      </c>
      <c r="BK186" s="5" t="str">
        <f>IMSUM(IMPRODUCT(BF186,AI186),IMPRODUCT(BG186,AK186))</f>
        <v>219.436427205982i</v>
      </c>
      <c r="BL186" s="5" t="str">
        <f>IMSUM(IMPRODUCT(BH186,AH186),IMPRODUCT(BI186,AJ186))</f>
        <v>4.3887285441196E-003i</v>
      </c>
      <c r="BM186" s="5" t="str">
        <f>IMSUM(IMPRODUCT(BH186,AI186),IMPRODUCT(BI186,AK186))</f>
        <v>-0.201311817983542</v>
      </c>
      <c r="BN186" s="4">
        <f t="shared" si="12"/>
        <v>500</v>
      </c>
      <c r="BO186" s="4">
        <v>1</v>
      </c>
      <c r="BP186" s="4" t="str">
        <f>IMSUM(IMPRODUCT($BJ186,$BN186),IMPRODUCT($BK186,$BO186))</f>
        <v>-91.7807227405255+219.436427205982i</v>
      </c>
      <c r="BQ186" s="4" t="str">
        <f>IMSUM(IMPRODUCT($BL186,$BN186),IMPRODUCT($BM186,$BO186))</f>
        <v>-0.201311817983542+2.1943642720598i</v>
      </c>
      <c r="BR186" s="4" t="str">
        <f>IMDIV($BP186,$BQ186)</f>
        <v>102.970471430801+32.3791044371472i</v>
      </c>
      <c r="BS186" s="4" t="str">
        <f>IMDIV(IMSUB($BQ$100,$BR186),IMSUM($BQ$100,$BR186))</f>
        <v>-3.90888395132037E-002-0.153290489010023i</v>
      </c>
      <c r="BT186" s="4">
        <f>IMABS($BS186)</f>
        <v>0.15819580081475293</v>
      </c>
      <c r="BU186" s="4">
        <f t="shared" si="13"/>
        <v>1.375849398156638</v>
      </c>
      <c r="BV186" s="4">
        <f t="shared" si="14"/>
        <v>-0.11006926173856435</v>
      </c>
    </row>
    <row r="187" spans="1:74" ht="12.75">
      <c r="A187" s="5">
        <v>84</v>
      </c>
      <c r="B187" s="5">
        <f t="shared" si="9"/>
        <v>16.6</v>
      </c>
      <c r="C187" s="4">
        <f t="shared" si="8"/>
        <v>2.6075219024795286</v>
      </c>
      <c r="D187" s="4">
        <f t="shared" si="10"/>
        <v>0.5090414157503711</v>
      </c>
      <c r="E187" s="5">
        <f t="shared" si="11"/>
        <v>-0.8607420270039439</v>
      </c>
      <c r="F187" s="9" t="str">
        <f>IF($B$7&gt;0,COMPLEX($E187,0),1)</f>
        <v>-0.860742027003944</v>
      </c>
      <c r="G187" s="9" t="str">
        <f>IF($B$7&gt;0,COMPLEX(0,$D187*$B$16),0)</f>
        <v>60.871843132063i</v>
      </c>
      <c r="H187" s="9" t="str">
        <f>IF($B$7&gt;0,COMPLEX(0,$D187/$B$16),0)</f>
        <v>4.25686408717686E-003i</v>
      </c>
      <c r="I187" s="9" t="str">
        <f>IF($B$7&gt;0,COMPLEX($E187,0),1)</f>
        <v>-0.860742027003944</v>
      </c>
      <c r="J187" s="9" t="str">
        <f>IF($B$7&gt;1,COMPLEX($E187,0),1)</f>
        <v>-0.860742027003944</v>
      </c>
      <c r="K187" s="9" t="str">
        <f>IF($B$7&gt;1,COMPLEX(0,$D187*$B$17),0)</f>
        <v>72.7913519734428i</v>
      </c>
      <c r="L187" s="9" t="str">
        <f>IF($B$7&gt;1,COMPLEX(0,$D187/$B$17),0)</f>
        <v>3.55980698151727E-003i</v>
      </c>
      <c r="M187" s="9" t="str">
        <f>IF($B$7&gt;1,COMPLEX($E187,0),1)</f>
        <v>-0.860742027003944</v>
      </c>
      <c r="N187" s="9" t="str">
        <f>IF($B$7&gt;2,COMPLEX($E187,0),1)</f>
        <v>-0.860742027003944</v>
      </c>
      <c r="O187" s="9" t="str">
        <f>IF($B$7&gt;2,COMPLEX(0,$D187*$B$18),0)</f>
        <v>87.0448576795387i</v>
      </c>
      <c r="P187" s="9" t="str">
        <f>IF($B$7&gt;2,COMPLEX(0,$D187/$B$18),0)</f>
        <v>2.97689225827815E-003i</v>
      </c>
      <c r="Q187" s="9" t="str">
        <f>IF($B$7&gt;2,COMPLEX($E187,0),1)</f>
        <v>-0.860742027003944</v>
      </c>
      <c r="R187" s="9" t="str">
        <f>IF($B$7&gt;3,COMPLEX($E187,0),1)</f>
        <v>-0.860742027003944</v>
      </c>
      <c r="S187" s="9" t="str">
        <f>IF($B$7&gt;3,COMPLEX(0,$D187*$B$19),0)</f>
        <v>104.089387585705i</v>
      </c>
      <c r="T187" s="9" t="str">
        <f>IF($B$7&gt;3,COMPLEX(0,$D187/$B$19),0)</f>
        <v>2.48942922001329E-003i</v>
      </c>
      <c r="U187" s="9" t="str">
        <f>IF($B$7&gt;3,COMPLEX($E187,0),1)</f>
        <v>-0.860742027003944</v>
      </c>
      <c r="V187" s="9" t="str">
        <f>IF($B$7&gt;4,COMPLEX($E187,0),1)</f>
        <v>-0.860742027003944</v>
      </c>
      <c r="W187" s="9" t="str">
        <f>IF($B$7&gt;4,COMPLEX(0,$D187*$B$20),0)</f>
        <v>124.471461000664i</v>
      </c>
      <c r="X187" s="9" t="str">
        <f>IF($B$7&gt;4,COMPLEX(0,$D187/$B$20),0)</f>
        <v>2.0817877517141E-003i</v>
      </c>
      <c r="Y187" s="9" t="str">
        <f>IF($B$7&gt;4,COMPLEX($E187,0),1)</f>
        <v>-0.860742027003944</v>
      </c>
      <c r="Z187" s="9" t="str">
        <f>IF($B$7&gt;5,COMPLEX($E187,0),1)</f>
        <v>-0.860742027003944</v>
      </c>
      <c r="AA187" s="9" t="str">
        <f>IF($B$7&gt;5,COMPLEX(0,$D187*$B$21),0)</f>
        <v>148.844612913908i</v>
      </c>
      <c r="AB187" s="9" t="str">
        <f>IF($B$7&gt;5,COMPLEX(0,$D187/$B$21),0)</f>
        <v>1.74089715359077E-003i</v>
      </c>
      <c r="AC187" s="9" t="str">
        <f>IF($B$7&gt;5,COMPLEX($E187,0),1)</f>
        <v>-0.860742027003944</v>
      </c>
      <c r="AD187" s="9" t="str">
        <f>IF($B$7&gt;6,COMPLEX($E187,0),1)</f>
        <v>-0.860742027003944</v>
      </c>
      <c r="AE187" s="9" t="str">
        <f>IF($B$7&gt;6,COMPLEX(0,$D187*$B$22),0)</f>
        <v>177.990349075863i</v>
      </c>
      <c r="AF187" s="9" t="str">
        <f>IF($B$7&gt;6,COMPLEX(0,$D187/$B$22),0)</f>
        <v>1.45582703946886E-003i</v>
      </c>
      <c r="AG187" s="9" t="str">
        <f>IF($B$7&gt;6,COMPLEX($E187,0),1)</f>
        <v>-0.860742027003944</v>
      </c>
      <c r="AH187" s="9" t="str">
        <f>IF($B$7&gt;7,COMPLEX($E187,0),1)</f>
        <v>-0.860742027003944</v>
      </c>
      <c r="AI187" s="9" t="str">
        <f>IF($B$7&gt;7,COMPLEX(0,$D187*$B$23),0)</f>
        <v>212.843204358843i</v>
      </c>
      <c r="AJ187" s="9" t="str">
        <f>IF($B$7&gt;7,COMPLEX(0,$D187/$B$23),0)</f>
        <v>1.21743686264126E-003i</v>
      </c>
      <c r="AK187" s="9" t="str">
        <f>IF($B$7&gt;7,COMPLEX($E187,0),1)</f>
        <v>-0.860742027003944</v>
      </c>
      <c r="AL187" s="4" t="str">
        <f>IMSUM(IMPRODUCT(F187,J187),IMPRODUCT(G187,L187))</f>
        <v>0.524184824891516</v>
      </c>
      <c r="AM187" s="5" t="str">
        <f>IMSUM(IMPRODUCT(F187,K187),IMPRODUCT(G187,M187))</f>
        <v>-115.049529490937i</v>
      </c>
      <c r="AN187" s="5" t="str">
        <f>IMSUM(IMPRODUCT(H187,J187),IMPRODUCT(I187,L187))</f>
        <v>-6.72813730009087E-003i</v>
      </c>
      <c r="AO187" s="5" t="str">
        <f>IMSUM(IMPRODUCT(H187,K187),IMPRODUCT(I187,M187))</f>
        <v>0.431013944978059</v>
      </c>
      <c r="AP187" s="4" t="str">
        <f>IMSUM(IMPRODUCT(AL187,N187),IMPRODUCT(AM187,P187))</f>
        <v>-0.108697855041717</v>
      </c>
      <c r="AQ187" s="5" t="str">
        <f>IMSUM(IMPRODUCT(AL187,O187),IMPRODUCT(AM187,Q187))</f>
        <v>144.655558700335i</v>
      </c>
      <c r="AR187" s="5" t="str">
        <f>IMSUM(IMPRODUCT(AN187,N187),IMPRODUCT(AO187,P187))</f>
        <v>7.07427261365617E-003i</v>
      </c>
      <c r="AS187" s="5" t="str">
        <f>IMSUM(IMPRODUCT(AN187,O187),IMPRODUCT(AO187,Q187))</f>
        <v>0.214657937067425</v>
      </c>
      <c r="AT187" s="4" t="str">
        <f>IMSUM(IMPRODUCT(AP187,R187),IMPRODUCT(AQ187,T187))</f>
        <v>-0.266548962586374</v>
      </c>
      <c r="AU187" s="5" t="str">
        <f>IMSUM(IMPRODUCT(AP187,S187),IMPRODUCT(AQ187,U187))</f>
        <v>-135.825411976286i</v>
      </c>
      <c r="AV187" s="5" t="str">
        <f>IMSUM(IMPRODUCT(AR187,R187),IMPRODUCT(AS187,T187))</f>
        <v>-5.55474800821348E-003i</v>
      </c>
      <c r="AW187" s="5" t="str">
        <f>IMSUM(IMPRODUCT(AR187,S187),IMPRODUCT(AS187,U187))</f>
        <v>-0.921121811833695</v>
      </c>
      <c r="AX187" s="4" t="str">
        <f>IMSUM(IMPRODUCT(AT187,V187),IMPRODUCT(AU187,X187))</f>
        <v>0.512189573376148</v>
      </c>
      <c r="AY187" s="5" t="str">
        <f>IMSUM(IMPRODUCT(AT187,W187),IMPRODUCT(AU187,Y187))</f>
        <v>83.7329016217767i</v>
      </c>
      <c r="AZ187" s="5" t="str">
        <f>IMSUM(IMPRODUCT(AV187,V187),IMPRODUCT(AW187,X187))</f>
        <v>2.8636249543737E-003i</v>
      </c>
      <c r="BA187" s="5" t="str">
        <f>IMSUM(IMPRODUCT(AV187,W187),IMPRODUCT(AW187,Y187))</f>
        <v>1.48425585550814</v>
      </c>
      <c r="BB187" s="4" t="str">
        <f>IMSUM(IMPRODUCT(AX187,Z187),IMPRODUCT(AY187,AB187))</f>
        <v>-0.586633461693318</v>
      </c>
      <c r="BC187" s="5" t="str">
        <f>IMSUM(IMPRODUCT(AX187,AA187),IMPRODUCT(AY187,AC187))</f>
        <v>4.16423131886251i</v>
      </c>
      <c r="BD187" s="5" t="str">
        <f>IMSUM(IMPRODUCT(AZ187,Z187),IMPRODUCT(BA187,AB187))</f>
        <v>1.1909444624785E-004i</v>
      </c>
      <c r="BE187" s="5" t="str">
        <f>IMSUM(IMPRODUCT(AZ187,AA187),IMPRODUCT(BA187,AC187))</f>
        <v>-1.70379654152691</v>
      </c>
      <c r="BF187" s="4" t="str">
        <f>IMSUM(IMPRODUCT(BB187,AD187),IMPRODUCT(BC187,AF187))</f>
        <v>0.498877674373644</v>
      </c>
      <c r="BG187" s="5" t="str">
        <f>IMSUM(IMPRODUCT(BB187,AE187),IMPRODUCT(BC187,AG187))</f>
        <v>-107.999423532687i</v>
      </c>
      <c r="BH187" s="5" t="str">
        <f>IMSUM(IMPRODUCT(BD187,AD187),IMPRODUCT(BE187,AF187))</f>
        <v>-2.58294266997669E-003i</v>
      </c>
      <c r="BI187" s="5" t="str">
        <f>IMSUM(IMPRODUCT(BD187,AE187),IMPRODUCT(BE187,AG187))</f>
        <v>1.44533162669553</v>
      </c>
      <c r="BJ187" s="4" t="str">
        <f>IMSUM(IMPRODUCT(BF187,AH187),IMPRODUCT(BG187,AJ187))</f>
        <v>-0.297922501314685</v>
      </c>
      <c r="BK187" s="5" t="str">
        <f>IMSUM(IMPRODUCT(BF187,AI187),IMPRODUCT(BG187,AK187))</f>
        <v>199.142365523557i</v>
      </c>
      <c r="BL187" s="5" t="str">
        <f>IMSUM(IMPRODUCT(BH187,AH187),IMPRODUCT(BI187,AJ187))</f>
        <v>3.98284731047111E-003i</v>
      </c>
      <c r="BM187" s="5" t="str">
        <f>IMSUM(IMPRODUCT(BH187,AI187),IMPRODUCT(BI187,AK187))</f>
        <v>-0.694295879501796</v>
      </c>
      <c r="BN187" s="4">
        <f t="shared" si="12"/>
        <v>500</v>
      </c>
      <c r="BO187" s="4">
        <v>1</v>
      </c>
      <c r="BP187" s="4" t="str">
        <f>IMSUM(IMPRODUCT($BJ187,$BN187),IMPRODUCT($BK187,$BO187))</f>
        <v>-148.961250657343+199.142365523557i</v>
      </c>
      <c r="BQ187" s="4" t="str">
        <f>IMSUM(IMPRODUCT($BL187,$BN187),IMPRODUCT($BM187,$BO187))</f>
        <v>-0.694295879501796+1.99142365523556i</v>
      </c>
      <c r="BR187" s="4" t="str">
        <f>IMDIV($BP187,$BQ187)</f>
        <v>112.414748908416+35.6087734061856i</v>
      </c>
      <c r="BS187" s="4" t="str">
        <f>IMDIV(IMSUB($BQ$100,$BR187),IMSUM($BQ$100,$BR187))</f>
        <v>-8.41825396391495E-002-0.153525763135583i</v>
      </c>
      <c r="BT187" s="4">
        <f>IMABS($BS187)</f>
        <v>0.17509100469887112</v>
      </c>
      <c r="BU187" s="4">
        <f t="shared" si="13"/>
        <v>1.4245098688369984</v>
      </c>
      <c r="BV187" s="4">
        <f t="shared" si="14"/>
        <v>-0.1352245879991139</v>
      </c>
    </row>
    <row r="188" spans="1:74" ht="12.75">
      <c r="A188" s="5">
        <v>85</v>
      </c>
      <c r="B188" s="5">
        <f t="shared" si="9"/>
        <v>16.8</v>
      </c>
      <c r="C188" s="4">
        <f t="shared" si="8"/>
        <v>2.6389378290154264</v>
      </c>
      <c r="D188" s="4">
        <f t="shared" si="10"/>
        <v>0.4817536741017152</v>
      </c>
      <c r="E188" s="5">
        <f t="shared" si="11"/>
        <v>-0.8763066800438636</v>
      </c>
      <c r="F188" s="9" t="str">
        <f>IF($B$7&gt;0,COMPLEX($E188,0),1)</f>
        <v>-0.876306680043864</v>
      </c>
      <c r="G188" s="9" t="str">
        <f>IF($B$7&gt;0,COMPLEX(0,$D188*$B$16),0)</f>
        <v>57.6087390354804i</v>
      </c>
      <c r="H188" s="9" t="str">
        <f>IF($B$7&gt;0,COMPLEX(0,$D188/$B$16),0)</f>
        <v>4.0286700663169E-003i</v>
      </c>
      <c r="I188" s="9" t="str">
        <f>IF($B$7&gt;0,COMPLEX($E188,0),1)</f>
        <v>-0.876306680043864</v>
      </c>
      <c r="J188" s="9" t="str">
        <f>IF($B$7&gt;1,COMPLEX($E188,0),1)</f>
        <v>-0.876306680043864</v>
      </c>
      <c r="K188" s="9" t="str">
        <f>IF($B$7&gt;1,COMPLEX(0,$D188*$B$17),0)</f>
        <v>68.8892891049831i</v>
      </c>
      <c r="L188" s="9" t="str">
        <f>IF($B$7&gt;1,COMPLEX(0,$D188/$B$17),0)</f>
        <v>3.36897949631641E-003i</v>
      </c>
      <c r="M188" s="9" t="str">
        <f>IF($B$7&gt;1,COMPLEX($E188,0),1)</f>
        <v>-0.876306680043864</v>
      </c>
      <c r="N188" s="9" t="str">
        <f>IF($B$7&gt;2,COMPLEX($E188,0),1)</f>
        <v>-0.876306680043864</v>
      </c>
      <c r="O188" s="9" t="str">
        <f>IF($B$7&gt;2,COMPLEX(0,$D188*$B$18),0)</f>
        <v>82.3787194937057i</v>
      </c>
      <c r="P188" s="9" t="str">
        <f>IF($B$7&gt;2,COMPLEX(0,$D188/$B$18),0)</f>
        <v>2.81731257704527E-003i</v>
      </c>
      <c r="Q188" s="9" t="str">
        <f>IF($B$7&gt;2,COMPLEX($E188,0),1)</f>
        <v>-0.876306680043864</v>
      </c>
      <c r="R188" s="9" t="str">
        <f>IF($B$7&gt;3,COMPLEX($E188,0),1)</f>
        <v>-0.876306680043864</v>
      </c>
      <c r="S188" s="9" t="str">
        <f>IF($B$7&gt;3,COMPLEX(0,$D188*$B$19),0)</f>
        <v>98.5095580690464i</v>
      </c>
      <c r="T188" s="9" t="str">
        <f>IF($B$7&gt;3,COMPLEX(0,$D188/$B$19),0)</f>
        <v>2.35598054706356E-003i</v>
      </c>
      <c r="U188" s="9" t="str">
        <f>IF($B$7&gt;3,COMPLEX($E188,0),1)</f>
        <v>-0.876306680043864</v>
      </c>
      <c r="V188" s="9" t="str">
        <f>IF($B$7&gt;4,COMPLEX($E188,0),1)</f>
        <v>-0.876306680043864</v>
      </c>
      <c r="W188" s="9" t="str">
        <f>IF($B$7&gt;4,COMPLEX(0,$D188*$B$20),0)</f>
        <v>117.799027353178i</v>
      </c>
      <c r="X188" s="9" t="str">
        <f>IF($B$7&gt;4,COMPLEX(0,$D188/$B$20),0)</f>
        <v>1.97019116138093E-003i</v>
      </c>
      <c r="Y188" s="9" t="str">
        <f>IF($B$7&gt;4,COMPLEX($E188,0),1)</f>
        <v>-0.876306680043864</v>
      </c>
      <c r="Z188" s="9" t="str">
        <f>IF($B$7&gt;5,COMPLEX($E188,0),1)</f>
        <v>-0.876306680043864</v>
      </c>
      <c r="AA188" s="9" t="str">
        <f>IF($B$7&gt;5,COMPLEX(0,$D188*$B$21),0)</f>
        <v>140.865628852264i</v>
      </c>
      <c r="AB188" s="9" t="str">
        <f>IF($B$7&gt;5,COMPLEX(0,$D188/$B$21),0)</f>
        <v>1.64757438987412E-003i</v>
      </c>
      <c r="AC188" s="9" t="str">
        <f>IF($B$7&gt;5,COMPLEX($E188,0),1)</f>
        <v>-0.876306680043864</v>
      </c>
      <c r="AD188" s="9" t="str">
        <f>IF($B$7&gt;6,COMPLEX($E188,0),1)</f>
        <v>-0.876306680043864</v>
      </c>
      <c r="AE188" s="9" t="str">
        <f>IF($B$7&gt;6,COMPLEX(0,$D188*$B$22),0)</f>
        <v>168.448974815821i</v>
      </c>
      <c r="AF188" s="9" t="str">
        <f>IF($B$7&gt;6,COMPLEX(0,$D188/$B$22),0)</f>
        <v>1.37778578209966E-003i</v>
      </c>
      <c r="AG188" s="9" t="str">
        <f>IF($B$7&gt;6,COMPLEX($E188,0),1)</f>
        <v>-0.876306680043864</v>
      </c>
      <c r="AH188" s="9" t="str">
        <f>IF($B$7&gt;7,COMPLEX($E188,0),1)</f>
        <v>-0.876306680043864</v>
      </c>
      <c r="AI188" s="9" t="str">
        <f>IF($B$7&gt;7,COMPLEX(0,$D188*$B$23),0)</f>
        <v>201.433503315845i</v>
      </c>
      <c r="AJ188" s="9" t="str">
        <f>IF($B$7&gt;7,COMPLEX(0,$D188/$B$23),0)</f>
        <v>1.15217478070961E-003i</v>
      </c>
      <c r="AK188" s="9" t="str">
        <f>IF($B$7&gt;7,COMPLEX($E188,0),1)</f>
        <v>-0.876306680043864</v>
      </c>
      <c r="AL188" s="4" t="str">
        <f>IMSUM(IMPRODUCT(F188,J188),IMPRODUCT(G188,L188))</f>
        <v>0.573830736870323</v>
      </c>
      <c r="AM188" s="5" t="str">
        <f>IMSUM(IMPRODUCT(F188,K188),IMPRODUCT(G188,M188))</f>
        <v>-110.851067071865i</v>
      </c>
      <c r="AN188" s="5" t="str">
        <f>IMSUM(IMPRODUCT(H188,J188),IMPRODUCT(I188,L188))</f>
        <v>-6.48260972835914E-003i</v>
      </c>
      <c r="AO188" s="5" t="str">
        <f>IMSUM(IMPRODUCT(H188,K188),IMPRODUCT(I188,M188))</f>
        <v>0.490381180582403</v>
      </c>
      <c r="AP188" s="4" t="str">
        <f>IMSUM(IMPRODUCT(AL188,N188),IMPRODUCT(AM188,P188))</f>
        <v>-0.190549602493503</v>
      </c>
      <c r="AQ188" s="5" t="str">
        <f>IMSUM(IMPRODUCT(AL188,O188),IMPRODUCT(AM188,Q188))</f>
        <v>144.410971874573i</v>
      </c>
      <c r="AR188" s="5" t="str">
        <f>IMSUM(IMPRODUCT(AN188,N188),IMPRODUCT(AO188,P188))</f>
        <v>7.06231127667956E-003i</v>
      </c>
      <c r="AS188" s="5" t="str">
        <f>IMSUM(IMPRODUCT(AN188,O188),IMPRODUCT(AO188,Q188))</f>
        <v>0.104304784087509</v>
      </c>
      <c r="AT188" s="4" t="str">
        <f>IMSUM(IMPRODUCT(AP188,R188),IMPRODUCT(AQ188,T188))</f>
        <v>-0.173249550974277</v>
      </c>
      <c r="AU188" s="5" t="str">
        <f>IMSUM(IMPRODUCT(AP188,S188),IMPRODUCT(AQ188,U188))</f>
        <v>-145.319256457182i</v>
      </c>
      <c r="AV188" s="5" t="str">
        <f>IMSUM(IMPRODUCT(AR188,R188),IMPRODUCT(AS188,T188))</f>
        <v>-5.94301050602757E-003i</v>
      </c>
      <c r="AW188" s="5" t="str">
        <f>IMSUM(IMPRODUCT(AR188,S188),IMPRODUCT(AS188,U188))</f>
        <v>-0.787108141868163</v>
      </c>
      <c r="AX188" s="4" t="str">
        <f>IMSUM(IMPRODUCT(AT188,V188),IMPRODUCT(AU188,X188))</f>
        <v>0.438126453483748</v>
      </c>
      <c r="AY188" s="5" t="str">
        <f>IMSUM(IMPRODUCT(AT188,W188),IMPRODUCT(AU188,Y188))</f>
        <v>106.935606578291i</v>
      </c>
      <c r="AZ188" s="5" t="str">
        <f>IMSUM(IMPRODUCT(AV188,V188),IMPRODUCT(AW188,X188))</f>
        <v>3.6571463018432E-003i</v>
      </c>
      <c r="BA188" s="5" t="str">
        <f>IMSUM(IMPRODUCT(AV188,W188),IMPRODUCT(AW188,Y188))</f>
        <v>1.38982897979575</v>
      </c>
      <c r="BB188" s="4" t="str">
        <f>IMSUM(IMPRODUCT(AX188,Z188),IMPRODUCT(AY188,AB188))</f>
        <v>-0.560117504655783</v>
      </c>
      <c r="BC188" s="5" t="str">
        <f>IMSUM(IMPRODUCT(AX188,AA188),IMPRODUCT(AY188,AC188))</f>
        <v>-31.9914279922986i</v>
      </c>
      <c r="BD188" s="5" t="str">
        <f>IMSUM(IMPRODUCT(AZ188,Z188),IMPRODUCT(BA188,AB188))</f>
        <v>-9.1493510078656E-004i</v>
      </c>
      <c r="BE188" s="5" t="str">
        <f>IMSUM(IMPRODUCT(AZ188,AA188),IMPRODUCT(BA188,AC188))</f>
        <v>-1.73308263272743</v>
      </c>
      <c r="BF188" s="4" t="str">
        <f>IMSUM(IMPRODUCT(BB188,AD188),IMPRODUCT(BC188,AF188))</f>
        <v>0.534912045576217</v>
      </c>
      <c r="BG188" s="5" t="str">
        <f>IMSUM(IMPRODUCT(BB188,AE188),IMPRODUCT(BC188,AG188))</f>
        <v>-66.316917381869i</v>
      </c>
      <c r="BH188" s="5" t="str">
        <f>IMSUM(IMPRODUCT(BD188,AD188),IMPRODUCT(BE188,AF188))</f>
        <v>-1.58605286994983E-003i</v>
      </c>
      <c r="BI188" s="5" t="str">
        <f>IMSUM(IMPRODUCT(BD188,AE188),IMPRODUCT(BE188,AG188))</f>
        <v>1.67283176787756</v>
      </c>
      <c r="BJ188" s="4" t="str">
        <f>IMSUM(IMPRODUCT(BF188,AH188),IMPRODUCT(BG188,AJ188))</f>
        <v>-0.392338319032575</v>
      </c>
      <c r="BK188" s="5" t="str">
        <f>IMSUM(IMPRODUCT(BF188,AI188),IMPRODUCT(BG188,AK188))</f>
        <v>165.863165007911i</v>
      </c>
      <c r="BL188" s="5" t="str">
        <f>IMSUM(IMPRODUCT(BH188,AH188),IMPRODUCT(BI188,AJ188))</f>
        <v>3.31726330015818E-003i</v>
      </c>
      <c r="BM188" s="5" t="str">
        <f>IMSUM(IMPRODUCT(BH188,AI188),IMPRODUCT(BI188,AK188))</f>
        <v>-1.14642946674255</v>
      </c>
      <c r="BN188" s="4">
        <f t="shared" si="12"/>
        <v>500</v>
      </c>
      <c r="BO188" s="4">
        <v>1</v>
      </c>
      <c r="BP188" s="4" t="str">
        <f>IMSUM(IMPRODUCT($BJ188,$BN188),IMPRODUCT($BK188,$BO188))</f>
        <v>-196.169159516287+165.863165007911i</v>
      </c>
      <c r="BQ188" s="4" t="str">
        <f>IMSUM(IMPRODUCT($BL188,$BN188),IMPRODUCT($BM188,$BO188))</f>
        <v>-1.14642946674255+1.65863165007909i</v>
      </c>
      <c r="BR188" s="4" t="str">
        <f>IMDIV($BP188,$BQ188)</f>
        <v>122.990353826765+33.2619926561518i</v>
      </c>
      <c r="BS188" s="4" t="str">
        <f>IMDIV(IMSUB($BQ$100,$BR188),IMSUM($BQ$100,$BR188))</f>
        <v>-0.122621631899078-0.130872714158349i</v>
      </c>
      <c r="BT188" s="4">
        <f>IMABS($BS188)</f>
        <v>0.17934249892528517</v>
      </c>
      <c r="BU188" s="4">
        <f t="shared" si="13"/>
        <v>1.4370702727762124</v>
      </c>
      <c r="BV188" s="4">
        <f t="shared" si="14"/>
        <v>-0.1419810744794152</v>
      </c>
    </row>
    <row r="189" spans="1:74" ht="12.75">
      <c r="A189" s="5">
        <v>86</v>
      </c>
      <c r="B189" s="5">
        <f t="shared" si="9"/>
        <v>17</v>
      </c>
      <c r="C189" s="4">
        <f t="shared" si="8"/>
        <v>2.670353755551324</v>
      </c>
      <c r="D189" s="4">
        <f t="shared" si="10"/>
        <v>0.45399049973954686</v>
      </c>
      <c r="E189" s="5">
        <f t="shared" si="11"/>
        <v>-0.8910065241883679</v>
      </c>
      <c r="F189" s="9" t="str">
        <f>IF($B$7&gt;0,COMPLEX($E189,0),1)</f>
        <v>-0.891006524188368</v>
      </c>
      <c r="G189" s="9" t="str">
        <f>IF($B$7&gt;0,COMPLEX(0,$D189*$B$16),0)</f>
        <v>54.2887820686571i</v>
      </c>
      <c r="H189" s="9" t="str">
        <f>IF($B$7&gt;0,COMPLEX(0,$D189/$B$16),0)</f>
        <v>3.79650023448871E-003i</v>
      </c>
      <c r="I189" s="9" t="str">
        <f>IF($B$7&gt;0,COMPLEX($E189,0),1)</f>
        <v>-0.891006524188368</v>
      </c>
      <c r="J189" s="9" t="str">
        <f>IF($B$7&gt;1,COMPLEX($E189,0),1)</f>
        <v>-0.891006524188368</v>
      </c>
      <c r="K189" s="9" t="str">
        <f>IF($B$7&gt;1,COMPLEX(0,$D189*$B$17),0)</f>
        <v>64.9192408252814i</v>
      </c>
      <c r="L189" s="9" t="str">
        <f>IF($B$7&gt;1,COMPLEX(0,$D189/$B$17),0)</f>
        <v>3.17482723509452E-003i</v>
      </c>
      <c r="M189" s="9" t="str">
        <f>IF($B$7&gt;1,COMPLEX($E189,0),1)</f>
        <v>-0.891006524188368</v>
      </c>
      <c r="N189" s="9" t="str">
        <f>IF($B$7&gt;2,COMPLEX($E189,0),1)</f>
        <v>-0.891006524188368</v>
      </c>
      <c r="O189" s="9" t="str">
        <f>IF($B$7&gt;2,COMPLEX(0,$D189*$B$18),0)</f>
        <v>77.6312834574358i</v>
      </c>
      <c r="P189" s="9" t="str">
        <f>IF($B$7&gt;2,COMPLEX(0,$D189/$B$18),0)</f>
        <v>2.65495254843712E-003i</v>
      </c>
      <c r="Q189" s="9" t="str">
        <f>IF($B$7&gt;2,COMPLEX($E189,0),1)</f>
        <v>-0.891006524188368</v>
      </c>
      <c r="R189" s="9" t="str">
        <f>IF($B$7&gt;3,COMPLEX($E189,0),1)</f>
        <v>-0.891006524188368</v>
      </c>
      <c r="S189" s="9" t="str">
        <f>IF($B$7&gt;3,COMPLEX(0,$D189*$B$19),0)</f>
        <v>92.8325115117769i</v>
      </c>
      <c r="T189" s="9" t="str">
        <f>IF($B$7&gt;3,COMPLEX(0,$D189/$B$19),0)</f>
        <v>2.22020680575486E-003i</v>
      </c>
      <c r="U189" s="9" t="str">
        <f>IF($B$7&gt;3,COMPLEX($E189,0),1)</f>
        <v>-0.891006524188368</v>
      </c>
      <c r="V189" s="9" t="str">
        <f>IF($B$7&gt;4,COMPLEX($E189,0),1)</f>
        <v>-0.891006524188368</v>
      </c>
      <c r="W189" s="9" t="str">
        <f>IF($B$7&gt;4,COMPLEX(0,$D189*$B$20),0)</f>
        <v>111.010340287743i</v>
      </c>
      <c r="X189" s="9" t="str">
        <f>IF($B$7&gt;4,COMPLEX(0,$D189/$B$20),0)</f>
        <v>1.85665023023554E-003i</v>
      </c>
      <c r="Y189" s="9" t="str">
        <f>IF($B$7&gt;4,COMPLEX($E189,0),1)</f>
        <v>-0.891006524188368</v>
      </c>
      <c r="Z189" s="9" t="str">
        <f>IF($B$7&gt;5,COMPLEX($E189,0),1)</f>
        <v>-0.891006524188368</v>
      </c>
      <c r="AA189" s="9" t="str">
        <f>IF($B$7&gt;5,COMPLEX(0,$D189*$B$21),0)</f>
        <v>132.747627421856i</v>
      </c>
      <c r="AB189" s="9" t="str">
        <f>IF($B$7&gt;5,COMPLEX(0,$D189/$B$21),0)</f>
        <v>1.55262566914872E-003i</v>
      </c>
      <c r="AC189" s="9" t="str">
        <f>IF($B$7&gt;5,COMPLEX($E189,0),1)</f>
        <v>-0.891006524188368</v>
      </c>
      <c r="AD189" s="9" t="str">
        <f>IF($B$7&gt;6,COMPLEX($E189,0),1)</f>
        <v>-0.891006524188368</v>
      </c>
      <c r="AE189" s="9" t="str">
        <f>IF($B$7&gt;6,COMPLEX(0,$D189*$B$22),0)</f>
        <v>158.741361754726i</v>
      </c>
      <c r="AF189" s="9" t="str">
        <f>IF($B$7&gt;6,COMPLEX(0,$D189/$B$22),0)</f>
        <v>1.29838481650563E-003i</v>
      </c>
      <c r="AG189" s="9" t="str">
        <f>IF($B$7&gt;6,COMPLEX($E189,0),1)</f>
        <v>-0.891006524188368</v>
      </c>
      <c r="AH189" s="9" t="str">
        <f>IF($B$7&gt;7,COMPLEX($E189,0),1)</f>
        <v>-0.891006524188368</v>
      </c>
      <c r="AI189" s="9" t="str">
        <f>IF($B$7&gt;7,COMPLEX(0,$D189*$B$23),0)</f>
        <v>189.825011724436i</v>
      </c>
      <c r="AJ189" s="9" t="str">
        <f>IF($B$7&gt;7,COMPLEX(0,$D189/$B$23),0)</f>
        <v>1.08577564137314E-003i</v>
      </c>
      <c r="AK189" s="9" t="str">
        <f>IF($B$7&gt;7,COMPLEX($E189,0),1)</f>
        <v>-0.891006524188368</v>
      </c>
      <c r="AL189" s="4" t="str">
        <f>IMSUM(IMPRODUCT(F189,J189),IMPRODUCT(G189,L189))</f>
        <v>0.621535122274553</v>
      </c>
      <c r="AM189" s="5" t="str">
        <f>IMSUM(IMPRODUCT(F189,K189),IMPRODUCT(G189,M189))</f>
        <v>-106.215126134096i</v>
      </c>
      <c r="AN189" s="5" t="str">
        <f>IMSUM(IMPRODUCT(H189,J189),IMPRODUCT(I189,L189))</f>
        <v>-6.21149825765225E-003i</v>
      </c>
      <c r="AO189" s="5" t="str">
        <f>IMSUM(IMPRODUCT(H189,K189),IMPRODUCT(I189,M189))</f>
        <v>0.547426713130227</v>
      </c>
      <c r="AP189" s="4" t="str">
        <f>IMSUM(IMPRODUCT(AL189,N189),IMPRODUCT(AM189,P189))</f>
        <v>-0.271795729146554</v>
      </c>
      <c r="AQ189" s="5" t="str">
        <f>IMSUM(IMPRODUCT(AL189,O189),IMPRODUCT(AM189,Q189))</f>
        <v>142.888939609018i</v>
      </c>
      <c r="AR189" s="5" t="str">
        <f>IMSUM(IMPRODUCT(AN189,N189),IMPRODUCT(AO189,P189))</f>
        <v>6.98787741966049E-003i</v>
      </c>
      <c r="AS189" s="5" t="str">
        <f>IMSUM(IMPRODUCT(AN189,O189),IMPRODUCT(AO189,Q189))</f>
        <v>-5.55419097885596E-003</v>
      </c>
      <c r="AT189" s="4" t="str">
        <f>IMSUM(IMPRODUCT(AP189,R189),IMPRODUCT(AQ189,T189))</f>
        <v>-7.5071228270923E-002</v>
      </c>
      <c r="AU189" s="5" t="str">
        <f>IMSUM(IMPRODUCT(AP189,S189),IMPRODUCT(AQ189,U189))</f>
        <v>-152.546457580842i</v>
      </c>
      <c r="AV189" s="5" t="str">
        <f>IMSUM(IMPRODUCT(AR189,R189),IMPRODUCT(AS189,T189))</f>
        <v>-6.2385758237578E-003i</v>
      </c>
      <c r="AW189" s="5" t="str">
        <f>IMSUM(IMPRODUCT(AR189,S189),IMPRODUCT(AS189,U189))</f>
        <v>-0.643753390604769</v>
      </c>
      <c r="AX189" s="4" t="str">
        <f>IMSUM(IMPRODUCT(AT189,V189),IMPRODUCT(AU189,X189))</f>
        <v>0.350114369757313</v>
      </c>
      <c r="AY189" s="5" t="str">
        <f>IMSUM(IMPRODUCT(AT189,W189),IMPRODUCT(AU189,Y189))</f>
        <v>127.58620635018i</v>
      </c>
      <c r="AZ189" s="5" t="str">
        <f>IMSUM(IMPRODUCT(AV189,V189),IMPRODUCT(AW189,X189))</f>
        <v>4.36338687973077E-003i</v>
      </c>
      <c r="BA189" s="5" t="str">
        <f>IMSUM(IMPRODUCT(AV189,W189),IMPRODUCT(AW189,Y189))</f>
        <v>1.26613489610347</v>
      </c>
      <c r="BB189" s="4" t="str">
        <f>IMSUM(IMPRODUCT(AX189,Z189),IMPRODUCT(AY189,AB189))</f>
        <v>-0.51004780667446</v>
      </c>
      <c r="BC189" s="5" t="str">
        <f>IMSUM(IMPRODUCT(AX189,AA189),IMPRODUCT(AY189,AC189))</f>
        <v>-67.2032903428723i</v>
      </c>
      <c r="BD189" s="5" t="str">
        <f>IMSUM(IMPRODUCT(AZ189,Z189),IMPRODUCT(BA189,AB189))</f>
        <v>-1.92197263710284E-003i</v>
      </c>
      <c r="BE189" s="5" t="str">
        <f>IMSUM(IMPRODUCT(AZ189,AA189),IMPRODUCT(BA189,AC189))</f>
        <v>-1.70736370873867</v>
      </c>
      <c r="BF189" s="4" t="str">
        <f>IMSUM(IMPRODUCT(BB189,AD189),IMPRODUCT(BC189,AF189))</f>
        <v>0.541711655195316</v>
      </c>
      <c r="BG189" s="5" t="str">
        <f>IMSUM(IMPRODUCT(BB189,AE189),IMPRODUCT(BC189,AG189))</f>
        <v>-21.0871132490906i</v>
      </c>
      <c r="BH189" s="5" t="str">
        <f>IMSUM(IMPRODUCT(BD189,AD189),IMPRODUCT(BE189,AF189))</f>
        <v>-5.0432495670888E-004i</v>
      </c>
      <c r="BI189" s="5" t="str">
        <f>IMSUM(IMPRODUCT(BD189,AE189),IMPRODUCT(BE189,AG189))</f>
        <v>1.82636875731763</v>
      </c>
      <c r="BJ189" s="4" t="str">
        <f>IMSUM(IMPRODUCT(BF189,AH189),IMPRODUCT(BG189,AJ189))</f>
        <v>-0.459772745095167</v>
      </c>
      <c r="BK189" s="5" t="str">
        <f>IMSUM(IMPRODUCT(BF189,AI189),IMPRODUCT(BG189,AK189))</f>
        <v>121.619176779954i</v>
      </c>
      <c r="BL189" s="5" t="str">
        <f>IMSUM(IMPRODUCT(BH189,AH189),IMPRODUCT(BI189,AJ189))</f>
        <v>2.43238353559904E-003i</v>
      </c>
      <c r="BM189" s="5" t="str">
        <f>IMSUM(IMPRODUCT(BH189,AI189),IMPRODUCT(BI189,AK189))</f>
        <v>-1.53157298752362</v>
      </c>
      <c r="BN189" s="4">
        <f t="shared" si="12"/>
        <v>500</v>
      </c>
      <c r="BO189" s="4">
        <v>1</v>
      </c>
      <c r="BP189" s="4" t="str">
        <f>IMSUM(IMPRODUCT($BJ189,$BN189),IMPRODUCT($BK189,$BO189))</f>
        <v>-229.886372547584+121.619176779954i</v>
      </c>
      <c r="BQ189" s="4" t="str">
        <f>IMSUM(IMPRODUCT($BL189,$BN189),IMPRODUCT($BM189,$BO189))</f>
        <v>-1.53157298752362+1.21619176779952i</v>
      </c>
      <c r="BR189" s="4" t="str">
        <f>IMDIV($BP189,$BQ189)</f>
        <v>130.724482879799+24.3977031801301i</v>
      </c>
      <c r="BS189" s="4" t="str">
        <f>IMDIV(IMSUB($BQ$100,$BR189),IMSUM($BQ$100,$BR189))</f>
        <v>-0.142750810152712-9.06488597319653E-002i</v>
      </c>
      <c r="BT189" s="4">
        <f>IMABS($BS189)</f>
        <v>0.16910059009347406</v>
      </c>
      <c r="BU189" s="4">
        <f t="shared" si="13"/>
        <v>1.4070302327269615</v>
      </c>
      <c r="BV189" s="4">
        <f t="shared" si="14"/>
        <v>-0.12599669742269118</v>
      </c>
    </row>
    <row r="190" spans="1:74" ht="12.75">
      <c r="A190" s="5">
        <v>87</v>
      </c>
      <c r="B190" s="5">
        <f t="shared" si="9"/>
        <v>17.2</v>
      </c>
      <c r="C190" s="4">
        <f t="shared" si="8"/>
        <v>2.701769682087222</v>
      </c>
      <c r="D190" s="4">
        <f t="shared" si="10"/>
        <v>0.4257792915650729</v>
      </c>
      <c r="E190" s="5">
        <f t="shared" si="11"/>
        <v>-0.9048270524660195</v>
      </c>
      <c r="F190" s="9" t="str">
        <f>IF($B$7&gt;0,COMPLEX($E190,0),1)</f>
        <v>-0.904827052466019</v>
      </c>
      <c r="G190" s="9" t="str">
        <f>IF($B$7&gt;0,COMPLEX(0,$D190*$B$16),0)</f>
        <v>50.9152486282962i</v>
      </c>
      <c r="H190" s="9" t="str">
        <f>IF($B$7&gt;0,COMPLEX(0,$D190/$B$16),0)</f>
        <v>3.56058371528612E-003i</v>
      </c>
      <c r="I190" s="9" t="str">
        <f>IF($B$7&gt;0,COMPLEX($E190,0),1)</f>
        <v>-0.904827052466019</v>
      </c>
      <c r="J190" s="9" t="str">
        <f>IF($B$7&gt;1,COMPLEX($E190,0),1)</f>
        <v>-0.904827052466019</v>
      </c>
      <c r="K190" s="9" t="str">
        <f>IF($B$7&gt;1,COMPLEX(0,$D190*$B$17),0)</f>
        <v>60.8851250926801i</v>
      </c>
      <c r="L190" s="9" t="str">
        <f>IF($B$7&gt;1,COMPLEX(0,$D190/$B$17),0)</f>
        <v>2.97754180269313E-003i</v>
      </c>
      <c r="M190" s="9" t="str">
        <f>IF($B$7&gt;1,COMPLEX($E190,0),1)</f>
        <v>-0.904827052466019</v>
      </c>
      <c r="N190" s="9" t="str">
        <f>IF($B$7&gt;2,COMPLEX($E190,0),1)</f>
        <v>-0.904827052466019</v>
      </c>
      <c r="O190" s="9" t="str">
        <f>IF($B$7&gt;2,COMPLEX(0,$D190*$B$18),0)</f>
        <v>72.8072347169319i</v>
      </c>
      <c r="P190" s="9" t="str">
        <f>IF($B$7&gt;2,COMPLEX(0,$D190/$B$18),0)</f>
        <v>2.48997240219996E-003i</v>
      </c>
      <c r="Q190" s="9" t="str">
        <f>IF($B$7&gt;2,COMPLEX($E190,0),1)</f>
        <v>-0.904827052466019</v>
      </c>
      <c r="R190" s="9" t="str">
        <f>IF($B$7&gt;3,COMPLEX($E190,0),1)</f>
        <v>-0.904827052466019</v>
      </c>
      <c r="S190" s="9" t="str">
        <f>IF($B$7&gt;3,COMPLEX(0,$D190*$B$19),0)</f>
        <v>87.0638504734502i</v>
      </c>
      <c r="T190" s="9" t="str">
        <f>IF($B$7&gt;3,COMPLEX(0,$D190/$B$19),0)</f>
        <v>2.0822419883777E-003i</v>
      </c>
      <c r="U190" s="9" t="str">
        <f>IF($B$7&gt;3,COMPLEX($E190,0),1)</f>
        <v>-0.904827052466019</v>
      </c>
      <c r="V190" s="9" t="str">
        <f>IF($B$7&gt;4,COMPLEX($E190,0),1)</f>
        <v>-0.904827052466019</v>
      </c>
      <c r="W190" s="9" t="str">
        <f>IF($B$7&gt;4,COMPLEX(0,$D190*$B$20),0)</f>
        <v>104.112099418885i</v>
      </c>
      <c r="X190" s="9" t="str">
        <f>IF($B$7&gt;4,COMPLEX(0,$D190/$B$20),0)</f>
        <v>1.741277009469E-003i</v>
      </c>
      <c r="Y190" s="9" t="str">
        <f>IF($B$7&gt;4,COMPLEX($E190,0),1)</f>
        <v>-0.904827052466019</v>
      </c>
      <c r="Z190" s="9" t="str">
        <f>IF($B$7&gt;5,COMPLEX($E190,0),1)</f>
        <v>-0.904827052466019</v>
      </c>
      <c r="AA190" s="9" t="str">
        <f>IF($B$7&gt;5,COMPLEX(0,$D190*$B$21),0)</f>
        <v>124.498620109998i</v>
      </c>
      <c r="AB190" s="9" t="str">
        <f>IF($B$7&gt;5,COMPLEX(0,$D190/$B$21),0)</f>
        <v>1.45614469433864E-003i</v>
      </c>
      <c r="AC190" s="9" t="str">
        <f>IF($B$7&gt;5,COMPLEX($E190,0),1)</f>
        <v>-0.904827052466019</v>
      </c>
      <c r="AD190" s="9" t="str">
        <f>IF($B$7&gt;6,COMPLEX($E190,0),1)</f>
        <v>-0.904827052466019</v>
      </c>
      <c r="AE190" s="9" t="str">
        <f>IF($B$7&gt;6,COMPLEX(0,$D190*$B$22),0)</f>
        <v>148.877090134656i</v>
      </c>
      <c r="AF190" s="9" t="str">
        <f>IF($B$7&gt;6,COMPLEX(0,$D190/$B$22),0)</f>
        <v>1.2177025018536E-003i</v>
      </c>
      <c r="AG190" s="9" t="str">
        <f>IF($B$7&gt;6,COMPLEX($E190,0),1)</f>
        <v>-0.904827052466019</v>
      </c>
      <c r="AH190" s="9" t="str">
        <f>IF($B$7&gt;7,COMPLEX($E190,0),1)</f>
        <v>-0.904827052466019</v>
      </c>
      <c r="AI190" s="9" t="str">
        <f>IF($B$7&gt;7,COMPLEX(0,$D190*$B$23),0)</f>
        <v>178.029185764306i</v>
      </c>
      <c r="AJ190" s="9" t="str">
        <f>IF($B$7&gt;7,COMPLEX(0,$D190/$B$23),0)</f>
        <v>1.01830497256592E-003i</v>
      </c>
      <c r="AK190" s="9" t="str">
        <f>IF($B$7&gt;7,COMPLEX($E190,0),1)</f>
        <v>-0.904827052466019</v>
      </c>
      <c r="AL190" s="4" t="str">
        <f>IMSUM(IMPRODUCT(F190,J190),IMPRODUCT(G190,L190))</f>
        <v>0.667109713689078</v>
      </c>
      <c r="AM190" s="5" t="str">
        <f>IMSUM(IMPRODUCT(F190,K190),IMPRODUCT(G190,M190))</f>
        <v>-101.16000261855i</v>
      </c>
      <c r="AN190" s="5" t="str">
        <f>IMSUM(IMPRODUCT(H190,J190),IMPRODUCT(I190,L190))</f>
        <v>-5.91587284108603E-003i</v>
      </c>
      <c r="AO190" s="5" t="str">
        <f>IMSUM(IMPRODUCT(H190,K190),IMPRODUCT(I190,M190))</f>
        <v>0.601925409966189</v>
      </c>
      <c r="AP190" s="4" t="str">
        <f>IMSUM(IMPRODUCT(AL190,N190),IMPRODUCT(AM190,P190))</f>
        <v>-0.351733301182073</v>
      </c>
      <c r="AQ190" s="5" t="str">
        <f>IMSUM(IMPRODUCT(AL190,O190),IMPRODUCT(AM190,Q190))</f>
        <v>140.102720503303i</v>
      </c>
      <c r="AR190" s="5" t="str">
        <f>IMSUM(IMPRODUCT(AN190,N190),IMPRODUCT(AO190,P190))</f>
        <v>6.85161944456236E-003i</v>
      </c>
      <c r="AS190" s="5" t="str">
        <f>IMSUM(IMPRODUCT(AN190,O190),IMPRODUCT(AO190,Q190))</f>
        <v>-0.113920052007634</v>
      </c>
      <c r="AT190" s="4" t="str">
        <f>IMSUM(IMPRODUCT(AP190,R190),IMPRODUCT(AQ190,T190))</f>
        <v>2.6530038844795E-002</v>
      </c>
      <c r="AU190" s="5" t="str">
        <f>IMSUM(IMPRODUCT(AP190,S190),IMPRODUCT(AQ190,U190))</f>
        <v>-157.391987176123i</v>
      </c>
      <c r="AV190" s="5" t="str">
        <f>IMSUM(IMPRODUCT(AR190,R190),IMPRODUCT(AS190,T190))</f>
        <v>-6.43673974225069E-003i</v>
      </c>
      <c r="AW190" s="5" t="str">
        <f>IMSUM(IMPRODUCT(AR190,S190),IMPRODUCT(AS190,U190))</f>
        <v>-0.493450425947518</v>
      </c>
      <c r="AX190" s="4" t="str">
        <f>IMSUM(IMPRODUCT(AT190,V190),IMPRODUCT(AU190,X190))</f>
        <v>0.250057951894678</v>
      </c>
      <c r="AY190" s="5" t="str">
        <f>IMSUM(IMPRODUCT(AT190,W190),IMPRODUCT(AU190,Y190))</f>
        <v>145.174625880137i</v>
      </c>
      <c r="AZ190" s="5" t="str">
        <f>IMSUM(IMPRODUCT(AV190,V190),IMPRODUCT(AW190,X190))</f>
        <v>4.96490236645647E-003i</v>
      </c>
      <c r="BA190" s="5" t="str">
        <f>IMSUM(IMPRODUCT(AV190,W190),IMPRODUCT(AW190,Y190))</f>
        <v>1.11662978242689</v>
      </c>
      <c r="BB190" s="4" t="str">
        <f>IMSUM(IMPRODUCT(AX190,Z190),IMPRODUCT(AY190,AB190))</f>
        <v>-0.437654460786509</v>
      </c>
      <c r="BC190" s="5" t="str">
        <f>IMSUM(IMPRODUCT(AX190,AA190),IMPRODUCT(AY190,AC190))</f>
        <v>-100.226058869561i</v>
      </c>
      <c r="BD190" s="5" t="str">
        <f>IMSUM(IMPRODUCT(AZ190,Z190),IMPRODUCT(BA190,AB190))</f>
        <v>-2.86640344080094E-003i</v>
      </c>
      <c r="BE190" s="5" t="str">
        <f>IMSUM(IMPRODUCT(AZ190,AA190),IMPRODUCT(BA190,AC190))</f>
        <v>-1.62848032833379</v>
      </c>
      <c r="BF190" s="4" t="str">
        <f>IMSUM(IMPRODUCT(BB190,AD190),IMPRODUCT(BC190,AF190))</f>
        <v>0.518047118388453</v>
      </c>
      <c r="BG190" s="5" t="str">
        <f>IMSUM(IMPRODUCT(BB190,AE190),IMPRODUCT(BC190,AG190))</f>
        <v>25.5305268208832i</v>
      </c>
      <c r="BH190" s="5" t="str">
        <f>IMSUM(IMPRODUCT(BD190,AD190),IMPRODUCT(BE190,AF190))</f>
        <v>6.1059480648694E-004i</v>
      </c>
      <c r="BI190" s="5" t="str">
        <f>IMSUM(IMPRODUCT(BD190,AE190),IMPRODUCT(BE190,AG190))</f>
        <v>1.90023485890357</v>
      </c>
      <c r="BJ190" s="4" t="str">
        <f>IMSUM(IMPRODUCT(BF190,AH190),IMPRODUCT(BG190,AJ190))</f>
        <v>-0.494740909583872</v>
      </c>
      <c r="BK190" s="5" t="str">
        <f>IMSUM(IMPRODUCT(BF190,AI190),IMPRODUCT(BG190,AK190))</f>
        <v>69.1267953429969i</v>
      </c>
      <c r="BL190" s="5" t="str">
        <f>IMSUM(IMPRODUCT(BH190,AH190),IMPRODUCT(BI190,AJ190))</f>
        <v>1.38253590685996E-003i</v>
      </c>
      <c r="BM190" s="5" t="str">
        <f>IMSUM(IMPRODUCT(BH190,AI190),IMPRODUCT(BI190,AK190))</f>
        <v>-1.82808760260568</v>
      </c>
      <c r="BN190" s="4">
        <f t="shared" si="12"/>
        <v>500</v>
      </c>
      <c r="BO190" s="4">
        <v>1</v>
      </c>
      <c r="BP190" s="4" t="str">
        <f>IMSUM(IMPRODUCT($BJ190,$BN190),IMPRODUCT($BK190,$BO190))</f>
        <v>-247.370454791936+69.1267953429969i</v>
      </c>
      <c r="BQ190" s="4" t="str">
        <f>IMSUM(IMPRODUCT($BL190,$BN190),IMPRODUCT($BM190,$BO190))</f>
        <v>-1.82808760260568+0.69126795342998i</v>
      </c>
      <c r="BR190" s="4" t="str">
        <f>IMDIV($BP190,$BQ190)</f>
        <v>130.898424844066+11.6838442948382i</v>
      </c>
      <c r="BS190" s="4" t="str">
        <f>IMDIV(IMSUB($BQ$100,$BR190),IMSUM($BQ$100,$BR190))</f>
        <v>-0.136030475799277-4.37182947569428E-002i</v>
      </c>
      <c r="BT190" s="4">
        <f>IMABS($BS190)</f>
        <v>0.14288309781997524</v>
      </c>
      <c r="BU190" s="4">
        <f t="shared" si="13"/>
        <v>1.333403990649492</v>
      </c>
      <c r="BV190" s="4">
        <f t="shared" si="14"/>
        <v>-0.08958130659033062</v>
      </c>
    </row>
    <row r="191" spans="1:74" ht="12.75">
      <c r="A191" s="5">
        <v>88</v>
      </c>
      <c r="B191" s="5">
        <f t="shared" si="9"/>
        <v>17.400000000000002</v>
      </c>
      <c r="C191" s="4">
        <f t="shared" si="8"/>
        <v>2.7331856086231205</v>
      </c>
      <c r="D191" s="4">
        <f t="shared" si="10"/>
        <v>0.39714789063478023</v>
      </c>
      <c r="E191" s="5">
        <f t="shared" si="11"/>
        <v>-0.9177546256839814</v>
      </c>
      <c r="F191" s="9" t="str">
        <f>IF($B$7&gt;0,COMPLEX($E191,0),1)</f>
        <v>-0.917754625683981</v>
      </c>
      <c r="G191" s="9" t="str">
        <f>IF($B$7&gt;0,COMPLEX(0,$D191*$B$16),0)</f>
        <v>47.4914679846115i</v>
      </c>
      <c r="H191" s="9" t="str">
        <f>IF($B$7&gt;0,COMPLEX(0,$D191/$B$16),0)</f>
        <v>3.32115332983101E-003i</v>
      </c>
      <c r="I191" s="9" t="str">
        <f>IF($B$7&gt;0,COMPLEX($E191,0),1)</f>
        <v>-0.917754625683981</v>
      </c>
      <c r="J191" s="9" t="str">
        <f>IF($B$7&gt;1,COMPLEX($E191,0),1)</f>
        <v>-0.917754625683981</v>
      </c>
      <c r="K191" s="9" t="str">
        <f>IF($B$7&gt;1,COMPLEX(0,$D191*$B$17),0)</f>
        <v>56.7909230923625i</v>
      </c>
      <c r="L191" s="9" t="str">
        <f>IF($B$7&gt;1,COMPLEX(0,$D191/$B$17),0)</f>
        <v>2.77731789601545E-003i</v>
      </c>
      <c r="M191" s="9" t="str">
        <f>IF($B$7&gt;1,COMPLEX($E191,0),1)</f>
        <v>-0.917754625683981</v>
      </c>
      <c r="N191" s="9" t="str">
        <f>IF($B$7&gt;2,COMPLEX($E191,0),1)</f>
        <v>-0.917754625683981</v>
      </c>
      <c r="O191" s="9" t="str">
        <f>IF($B$7&gt;2,COMPLEX(0,$D191*$B$18),0)</f>
        <v>67.9113340258862i</v>
      </c>
      <c r="P191" s="9" t="str">
        <f>IF($B$7&gt;2,COMPLEX(0,$D191/$B$18),0)</f>
        <v>2.32253495381984E-003i</v>
      </c>
      <c r="Q191" s="9" t="str">
        <f>IF($B$7&gt;2,COMPLEX($E191,0),1)</f>
        <v>-0.917754625683981</v>
      </c>
      <c r="R191" s="9" t="str">
        <f>IF($B$7&gt;3,COMPLEX($E191,0),1)</f>
        <v>-0.917754625683981</v>
      </c>
      <c r="S191" s="9" t="str">
        <f>IF($B$7&gt;3,COMPLEX(0,$D191*$B$19),0)</f>
        <v>81.2092679260521i</v>
      </c>
      <c r="T191" s="9" t="str">
        <f>IF($B$7&gt;3,COMPLEX(0,$D191/$B$19),0)</f>
        <v>1.94222224955012E-003i</v>
      </c>
      <c r="U191" s="9" t="str">
        <f>IF($B$7&gt;3,COMPLEX($E191,0),1)</f>
        <v>-0.917754625683981</v>
      </c>
      <c r="V191" s="9" t="str">
        <f>IF($B$7&gt;4,COMPLEX($E191,0),1)</f>
        <v>-0.917754625683981</v>
      </c>
      <c r="W191" s="9" t="str">
        <f>IF($B$7&gt;4,COMPLEX(0,$D191*$B$20),0)</f>
        <v>97.111112477506i</v>
      </c>
      <c r="X191" s="9" t="str">
        <f>IF($B$7&gt;4,COMPLEX(0,$D191/$B$20),0)</f>
        <v>1.62418535852104E-003i</v>
      </c>
      <c r="Y191" s="9" t="str">
        <f>IF($B$7&gt;4,COMPLEX($E191,0),1)</f>
        <v>-0.917754625683981</v>
      </c>
      <c r="Z191" s="9" t="str">
        <f>IF($B$7&gt;5,COMPLEX($E191,0),1)</f>
        <v>-0.917754625683981</v>
      </c>
      <c r="AA191" s="9" t="str">
        <f>IF($B$7&gt;5,COMPLEX(0,$D191*$B$21),0)</f>
        <v>116.126747690992i</v>
      </c>
      <c r="AB191" s="9" t="str">
        <f>IF($B$7&gt;5,COMPLEX(0,$D191/$B$21),0)</f>
        <v>1.35822668051772E-003i</v>
      </c>
      <c r="AC191" s="9" t="str">
        <f>IF($B$7&gt;5,COMPLEX($E191,0),1)</f>
        <v>-0.917754625683981</v>
      </c>
      <c r="AD191" s="9" t="str">
        <f>IF($B$7&gt;6,COMPLEX($E191,0),1)</f>
        <v>-0.917754625683981</v>
      </c>
      <c r="AE191" s="9" t="str">
        <f>IF($B$7&gt;6,COMPLEX(0,$D191*$B$22),0)</f>
        <v>138.865894800772i</v>
      </c>
      <c r="AF191" s="9" t="str">
        <f>IF($B$7&gt;6,COMPLEX(0,$D191/$B$22),0)</f>
        <v>1.13581846184725E-003i</v>
      </c>
      <c r="AG191" s="9" t="str">
        <f>IF($B$7&gt;6,COMPLEX($E191,0),1)</f>
        <v>-0.917754625683981</v>
      </c>
      <c r="AH191" s="9" t="str">
        <f>IF($B$7&gt;7,COMPLEX($E191,0),1)</f>
        <v>-0.917754625683981</v>
      </c>
      <c r="AI191" s="9" t="str">
        <f>IF($B$7&gt;7,COMPLEX(0,$D191*$B$23),0)</f>
        <v>166.057666491551i</v>
      </c>
      <c r="AJ191" s="9" t="str">
        <f>IF($B$7&gt;7,COMPLEX(0,$D191/$B$23),0)</f>
        <v>9.4982935969223E-004i</v>
      </c>
      <c r="AK191" s="9" t="str">
        <f>IF($B$7&gt;7,COMPLEX($E191,0),1)</f>
        <v>-0.917754625683981</v>
      </c>
      <c r="AL191" s="4" t="str">
        <f>IMSUM(IMPRODUCT(F191,J191),IMPRODUCT(G191,L191))</f>
        <v>0.710374649022638</v>
      </c>
      <c r="AM191" s="5" t="str">
        <f>IMSUM(IMPRODUCT(F191,K191),IMPRODUCT(G191,M191))</f>
        <v>-95.7056467882788i</v>
      </c>
      <c r="AN191" s="5" t="str">
        <f>IMSUM(IMPRODUCT(H191,J191),IMPRODUCT(I191,L191))</f>
        <v>-5.59690017712125E-003i</v>
      </c>
      <c r="AO191" s="5" t="str">
        <f>IMSUM(IMPRODUCT(H191,K191),IMPRODUCT(I191,M191))</f>
        <v>0.653662189631967</v>
      </c>
      <c r="AP191" s="4" t="str">
        <f>IMSUM(IMPRODUCT(AL191,N191),IMPRODUCT(AM191,P191))</f>
        <v>-0.429669910165448</v>
      </c>
      <c r="AQ191" s="5" t="str">
        <f>IMSUM(IMPRODUCT(AL191,O191),IMPRODUCT(AM191,Q191))</f>
        <v>136.076790117318i</v>
      </c>
      <c r="AR191" s="5" t="str">
        <f>IMSUM(IMPRODUCT(AN191,N191),IMPRODUCT(AO191,P191))</f>
        <v>6.65473431045518E-003i</v>
      </c>
      <c r="AS191" s="5" t="str">
        <f>IMSUM(IMPRODUCT(AN191,O191),IMPRODUCT(AO191,Q191))</f>
        <v>-0.219808540731434</v>
      </c>
      <c r="AT191" s="4" t="str">
        <f>IMSUM(IMPRODUCT(AP191,R191),IMPRODUCT(AQ191,T191))</f>
        <v>0.130040178158343</v>
      </c>
      <c r="AU191" s="5" t="str">
        <f>IMSUM(IMPRODUCT(AP191,S191),IMPRODUCT(AQ191,U191))</f>
        <v>-159.778282432786i</v>
      </c>
      <c r="AV191" s="5" t="str">
        <f>IMSUM(IMPRODUCT(AR191,R191),IMPRODUCT(AS191,T191))</f>
        <v>-6.53433023456788E-003i</v>
      </c>
      <c r="AW191" s="5" t="str">
        <f>IMSUM(IMPRODUCT(AR191,S191),IMPRODUCT(AS191,U191))</f>
        <v>-0.338695796573327</v>
      </c>
      <c r="AX191" s="4" t="str">
        <f>IMSUM(IMPRODUCT(AT191,V191),IMPRODUCT(AU191,X191))</f>
        <v>0.140164571907383</v>
      </c>
      <c r="AY191" s="5" t="str">
        <f>IMSUM(IMPRODUCT(AT191,W191),IMPRODUCT(AU191,Y191))</f>
        <v>159.265604154261i</v>
      </c>
      <c r="AZ191" s="5" t="str">
        <f>IMSUM(IMPRODUCT(AV191,V191),IMPRODUCT(AW191,X191))</f>
        <v>5.44680704473435E-003i</v>
      </c>
      <c r="BA191" s="5" t="str">
        <f>IMSUM(IMPRODUCT(AV191,W191),IMPRODUCT(AW191,Y191))</f>
        <v>0.945395712379182</v>
      </c>
      <c r="BB191" s="4" t="str">
        <f>IMSUM(IMPRODUCT(AX191,Z191),IMPRODUCT(AY191,AB191))</f>
        <v>-0.344955477076107</v>
      </c>
      <c r="BC191" s="5" t="str">
        <f>IMSUM(IMPRODUCT(AX191,AA191),IMPRODUCT(AY191,AC191))</f>
        <v>-129.889889047822i</v>
      </c>
      <c r="BD191" s="5" t="str">
        <f>IMSUM(IMPRODUCT(AZ191,Z191),IMPRODUCT(BA191,AB191))</f>
        <v>-3.71477068031258E-003i</v>
      </c>
      <c r="BE191" s="5" t="str">
        <f>IMSUM(IMPRODUCT(AZ191,AA191),IMPRODUCT(BA191,AC191))</f>
        <v>-1.50016127554318</v>
      </c>
      <c r="BF191" s="4" t="str">
        <f>IMSUM(IMPRODUCT(BB191,AD191),IMPRODUCT(BC191,AF191))</f>
        <v>0.464115818729429</v>
      </c>
      <c r="BG191" s="5" t="str">
        <f>IMSUM(IMPRODUCT(BB191,AE191),IMPRODUCT(BC191,AG191))</f>
        <v>71.3044955126172i</v>
      </c>
      <c r="BH191" s="5" t="str">
        <f>IMSUM(IMPRODUCT(BD191,AD191),IMPRODUCT(BE191,AF191))</f>
        <v>1.70533710270184E-003i</v>
      </c>
      <c r="BI191" s="5" t="str">
        <f>IMSUM(IMPRODUCT(BD191,AE191),IMPRODUCT(BE191,AG191))</f>
        <v>1.89263490440301</v>
      </c>
      <c r="BJ191" s="4" t="str">
        <f>IMSUM(IMPRODUCT(BF191,AH191),IMPRODUCT(BG191,AJ191))</f>
        <v>-0.493671542807968</v>
      </c>
      <c r="BK191" s="5" t="str">
        <f>IMSUM(IMPRODUCT(BF191,AI191),IMPRODUCT(BG191,AK191))</f>
        <v>11.6299592512576i</v>
      </c>
      <c r="BL191" s="5" t="str">
        <f>IMSUM(IMPRODUCT(BH191,AH191),IMPRODUCT(BI191,AJ191))</f>
        <v>2.3259918502515E-004i</v>
      </c>
      <c r="BM191" s="5" t="str">
        <f>IMSUM(IMPRODUCT(BH191,AI191),IMPRODUCT(BI191,AK191))</f>
        <v>-2.02015873810295</v>
      </c>
      <c r="BN191" s="4">
        <f t="shared" si="12"/>
        <v>500</v>
      </c>
      <c r="BO191" s="4">
        <v>1</v>
      </c>
      <c r="BP191" s="4" t="str">
        <f>IMSUM(IMPRODUCT($BJ191,$BN191),IMPRODUCT($BK191,$BO191))</f>
        <v>-246.835771403984+11.6299592512576i</v>
      </c>
      <c r="BQ191" s="4" t="str">
        <f>IMSUM(IMPRODUCT($BL191,$BN191),IMPRODUCT($BM191,$BO191))</f>
        <v>-2.02015873810295+0.116299592512575i</v>
      </c>
      <c r="BR191" s="4" t="str">
        <f>IMDIV($BP191,$BQ191)</f>
        <v>122.113036490011+1.27303715519848i</v>
      </c>
      <c r="BS191" s="4" t="str">
        <f>IMDIV(IMSUB($BQ$100,$BR191),IMSUM($BQ$100,$BR191))</f>
        <v>-9.95871588802957E-002-5.16070114513409E-003i</v>
      </c>
      <c r="BT191" s="4">
        <f>IMABS($BS191)</f>
        <v>0.0997207854469601</v>
      </c>
      <c r="BU191" s="4">
        <f t="shared" si="13"/>
        <v>1.2215330173905399</v>
      </c>
      <c r="BV191" s="4">
        <f t="shared" si="14"/>
        <v>-0.043403430510003636</v>
      </c>
    </row>
    <row r="192" spans="1:74" ht="12.75">
      <c r="A192" s="5">
        <v>89</v>
      </c>
      <c r="B192" s="5">
        <f t="shared" si="9"/>
        <v>17.6</v>
      </c>
      <c r="C192" s="4">
        <f t="shared" si="8"/>
        <v>2.7646015351590183</v>
      </c>
      <c r="D192" s="4">
        <f t="shared" si="10"/>
        <v>0.3681245526846777</v>
      </c>
      <c r="E192" s="5">
        <f t="shared" si="11"/>
        <v>-0.9297764858882515</v>
      </c>
      <c r="F192" s="9" t="str">
        <f>IF($B$7&gt;0,COMPLEX($E192,0),1)</f>
        <v>-0.929776485888251</v>
      </c>
      <c r="G192" s="9" t="str">
        <f>IF($B$7&gt;0,COMPLEX(0,$D192*$B$16),0)</f>
        <v>44.0208189957405i</v>
      </c>
      <c r="H192" s="9" t="str">
        <f>IF($B$7&gt;0,COMPLEX(0,$D192/$B$16),0)</f>
        <v>3.07844536700707E-003i</v>
      </c>
      <c r="I192" s="9" t="str">
        <f>IF($B$7&gt;0,COMPLEX($E192,0),1)</f>
        <v>-0.929776485888251</v>
      </c>
      <c r="J192" s="9" t="str">
        <f>IF($B$7&gt;1,COMPLEX($E192,0),1)</f>
        <v>-0.929776485888251</v>
      </c>
      <c r="K192" s="9" t="str">
        <f>IF($B$7&gt;1,COMPLEX(0,$D192*$B$17),0)</f>
        <v>52.640675307404i</v>
      </c>
      <c r="L192" s="9" t="str">
        <f>IF($B$7&gt;1,COMPLEX(0,$D192/$B$17),0)</f>
        <v>2.57435311188406E-003i</v>
      </c>
      <c r="M192" s="9" t="str">
        <f>IF($B$7&gt;1,COMPLEX($E192,0),1)</f>
        <v>-0.929776485888251</v>
      </c>
      <c r="N192" s="9" t="str">
        <f>IF($B$7&gt;2,COMPLEX($E192,0),1)</f>
        <v>-0.929776485888251</v>
      </c>
      <c r="O192" s="9" t="str">
        <f>IF($B$7&gt;2,COMPLEX(0,$D192*$B$18),0)</f>
        <v>62.9484130471917i</v>
      </c>
      <c r="P192" s="9" t="str">
        <f>IF($B$7&gt;2,COMPLEX(0,$D192/$B$18),0)</f>
        <v>2.15280544384335E-003i</v>
      </c>
      <c r="Q192" s="9" t="str">
        <f>IF($B$7&gt;2,COMPLEX($E192,0),1)</f>
        <v>-0.929776485888251</v>
      </c>
      <c r="R192" s="9" t="str">
        <f>IF($B$7&gt;3,COMPLEX($E192,0),1)</f>
        <v>-0.929776485888251</v>
      </c>
      <c r="S192" s="9" t="str">
        <f>IF($B$7&gt;3,COMPLEX(0,$D192*$B$19),0)</f>
        <v>75.2745416357249i</v>
      </c>
      <c r="T192" s="9" t="str">
        <f>IF($B$7&gt;3,COMPLEX(0,$D192/$B$19),0)</f>
        <v>1.80028577184958E-003i</v>
      </c>
      <c r="U192" s="9" t="str">
        <f>IF($B$7&gt;3,COMPLEX($E192,0),1)</f>
        <v>-0.929776485888251</v>
      </c>
      <c r="V192" s="9" t="str">
        <f>IF($B$7&gt;4,COMPLEX($E192,0),1)</f>
        <v>-0.929776485888251</v>
      </c>
      <c r="W192" s="9" t="str">
        <f>IF($B$7&gt;4,COMPLEX(0,$D192*$B$20),0)</f>
        <v>90.0142885924788i</v>
      </c>
      <c r="X192" s="9" t="str">
        <f>IF($B$7&gt;4,COMPLEX(0,$D192/$B$20),0)</f>
        <v>1.5054908327145E-003i</v>
      </c>
      <c r="Y192" s="9" t="str">
        <f>IF($B$7&gt;4,COMPLEX($E192,0),1)</f>
        <v>-0.929776485888251</v>
      </c>
      <c r="Z192" s="9" t="str">
        <f>IF($B$7&gt;5,COMPLEX($E192,0),1)</f>
        <v>-0.929776485888251</v>
      </c>
      <c r="AA192" s="9" t="str">
        <f>IF($B$7&gt;5,COMPLEX(0,$D192*$B$21),0)</f>
        <v>107.640272192167i</v>
      </c>
      <c r="AB192" s="9" t="str">
        <f>IF($B$7&gt;5,COMPLEX(0,$D192/$B$21),0)</f>
        <v>1.25896826094384E-003i</v>
      </c>
      <c r="AC192" s="9" t="str">
        <f>IF($B$7&gt;5,COMPLEX($E192,0),1)</f>
        <v>-0.929776485888251</v>
      </c>
      <c r="AD192" s="9" t="str">
        <f>IF($B$7&gt;6,COMPLEX($E192,0),1)</f>
        <v>-0.929776485888251</v>
      </c>
      <c r="AE192" s="9" t="str">
        <f>IF($B$7&gt;6,COMPLEX(0,$D192*$B$22),0)</f>
        <v>128.717655594203i</v>
      </c>
      <c r="AF192" s="9" t="str">
        <f>IF($B$7&gt;6,COMPLEX(0,$D192/$B$22),0)</f>
        <v>1.05281350614808E-003i</v>
      </c>
      <c r="AG192" s="9" t="str">
        <f>IF($B$7&gt;6,COMPLEX($E192,0),1)</f>
        <v>-0.929776485888251</v>
      </c>
      <c r="AH192" s="9" t="str">
        <f>IF($B$7&gt;7,COMPLEX($E192,0),1)</f>
        <v>-0.929776485888251</v>
      </c>
      <c r="AI192" s="9" t="str">
        <f>IF($B$7&gt;7,COMPLEX(0,$D192*$B$23),0)</f>
        <v>153.922268350353i</v>
      </c>
      <c r="AJ192" s="9" t="str">
        <f>IF($B$7&gt;7,COMPLEX(0,$D192/$B$23),0)</f>
        <v>8.8041637991481E-004i</v>
      </c>
      <c r="AK192" s="9" t="str">
        <f>IF($B$7&gt;7,COMPLEX($E192,0),1)</f>
        <v>-0.929776485888251</v>
      </c>
      <c r="AL192" s="4" t="str">
        <f>IMSUM(IMPRODUCT(F192,J192),IMPRODUCT(G192,L192))</f>
        <v>0.751159181341336</v>
      </c>
      <c r="AM192" s="5" t="str">
        <f>IMSUM(IMPRODUCT(F192,K192),IMPRODUCT(G192,M192))</f>
        <v>-89.8735844938849i</v>
      </c>
      <c r="AN192" s="5" t="str">
        <f>IMSUM(IMPRODUCT(H192,J192),IMPRODUCT(I192,L192))</f>
        <v>-5.25583910513784E-003i</v>
      </c>
      <c r="AO192" s="5" t="str">
        <f>IMSUM(IMPRODUCT(H192,K192),IMPRODUCT(I192,M192))</f>
        <v>0.702432870694504</v>
      </c>
      <c r="AP192" s="4" t="str">
        <f>IMSUM(IMPRODUCT(AL192,N192),IMPRODUCT(AM192,P192))</f>
        <v>-0.504929802014092</v>
      </c>
      <c r="AQ192" s="5" t="str">
        <f>IMSUM(IMPRODUCT(AL192,O192),IMPRODUCT(AM192,Q192))</f>
        <v>130.84662397617i</v>
      </c>
      <c r="AR192" s="5" t="str">
        <f>IMSUM(IMPRODUCT(AN192,N192),IMPRODUCT(AO192,P192))</f>
        <v>6.39895692153475E-003i</v>
      </c>
      <c r="AS192" s="5" t="str">
        <f>IMSUM(IMPRODUCT(AN192,O192),IMPRODUCT(AO192,Q192))</f>
        <v>-0.322258835186933</v>
      </c>
      <c r="AT192" s="4" t="str">
        <f>IMSUM(IMPRODUCT(AP192,R192),IMPRODUCT(AQ192,T192))</f>
        <v>0.233910541498062</v>
      </c>
      <c r="AU192" s="5" t="str">
        <f>IMSUM(IMPRODUCT(AP192,S192),IMPRODUCT(AQ192,U192))</f>
        <v>-159.666473635733i</v>
      </c>
      <c r="AV192" s="5" t="str">
        <f>IMSUM(IMPRODUCT(AR192,R192),IMPRODUCT(AS192,T192))</f>
        <v>-6.52975767569473E-003i</v>
      </c>
      <c r="AW192" s="5" t="str">
        <f>IMSUM(IMPRODUCT(AR192,S192),IMPRODUCT(AS192,U192))</f>
        <v>-0.18204986188873</v>
      </c>
      <c r="AX192" s="4" t="str">
        <f>IMSUM(IMPRODUCT(AT192,V192),IMPRODUCT(AU192,X192))</f>
        <v>2.2891891064161E-002</v>
      </c>
      <c r="AY192" s="5" t="str">
        <f>IMSUM(IMPRODUCT(AT192,W192),IMPRODUCT(AU192,Y192))</f>
        <v>169.509423758431i</v>
      </c>
      <c r="AZ192" s="5" t="str">
        <f>IMSUM(IMPRODUCT(AV192,V192),IMPRODUCT(AW192,X192))</f>
        <v>5.79714074723886E-003i</v>
      </c>
      <c r="BA192" s="5" t="str">
        <f>IMSUM(IMPRODUCT(AV192,W192),IMPRODUCT(AW192,Y192))</f>
        <v>0.757037172702284</v>
      </c>
      <c r="BB192" s="4" t="str">
        <f>IMSUM(IMPRODUCT(AX192,Z192),IMPRODUCT(AY192,AB192))</f>
        <v>-0.234691326471716</v>
      </c>
      <c r="BC192" s="5" t="str">
        <f>IMSUM(IMPRODUCT(AX192,AA192),IMPRODUCT(AY192,AC192))</f>
        <v>-155.141786961916i</v>
      </c>
      <c r="BD192" s="5" t="str">
        <f>IMSUM(IMPRODUCT(AZ192,Z192),IMPRODUCT(BA192,AB192))</f>
        <v>-4.4369593793805E-003i</v>
      </c>
      <c r="BE192" s="5" t="str">
        <f>IMSUM(IMPRODUCT(AZ192,AA192),IMPRODUCT(BA192,AC192))</f>
        <v>-1.327881170091</v>
      </c>
      <c r="BF192" s="4" t="str">
        <f>IMSUM(IMPRODUCT(BB192,AD192),IMPRODUCT(BC192,AF192))</f>
        <v>0.381545845476777</v>
      </c>
      <c r="BG192" s="5" t="str">
        <f>IMSUM(IMPRODUCT(BB192,AE192),IMPRODUCT(BC192,AG192))</f>
        <v>114.038268164141i</v>
      </c>
      <c r="BH192" s="5" t="str">
        <f>IMSUM(IMPRODUCT(BD192,AD192),IMPRODUCT(BE192,AF192))</f>
        <v>2.7273692693578E-003i</v>
      </c>
      <c r="BI192" s="5" t="str">
        <f>IMSUM(IMPRODUCT(BD192,AE192),IMPRODUCT(BE192,AG192))</f>
        <v>1.80574769728496</v>
      </c>
      <c r="BJ192" s="4" t="str">
        <f>IMSUM(IMPRODUCT(BF192,AH192),IMPRODUCT(BG192,AJ192))</f>
        <v>-0.455153514641486</v>
      </c>
      <c r="BK192" s="5" t="str">
        <f>IMSUM(IMPRODUCT(BF192,AI192),IMPRODUCT(BG192,AK192))</f>
        <v>-47.3016982149982i</v>
      </c>
      <c r="BL192" s="5" t="str">
        <f>IMSUM(IMPRODUCT(BH192,AH192),IMPRODUCT(BI192,AJ192))</f>
        <v>-9.4603396429997E-004i</v>
      </c>
      <c r="BM192" s="5" t="str">
        <f>IMSUM(IMPRODUCT(BH192,AI192),IMPRODUCT(BI192,AK192))</f>
        <v>-2.09874461295101</v>
      </c>
      <c r="BN192" s="4">
        <f t="shared" si="12"/>
        <v>500</v>
      </c>
      <c r="BO192" s="4">
        <v>1</v>
      </c>
      <c r="BP192" s="4" t="str">
        <f>IMSUM(IMPRODUCT($BJ192,$BN192),IMPRODUCT($BK192,$BO192))</f>
        <v>-227.576757320743-47.3016982149982i</v>
      </c>
      <c r="BQ192" s="4" t="str">
        <f>IMSUM(IMPRODUCT($BL192,$BN192),IMPRODUCT($BM192,$BO192))</f>
        <v>-2.09874461295101-0.473016982149985i</v>
      </c>
      <c r="BR192" s="4" t="str">
        <f>IMDIV($BP192,$BQ192)</f>
        <v>108.026964890352-1.80912469522432i</v>
      </c>
      <c r="BS192" s="4" t="str">
        <f>IMDIV(IMSUB($BQ$100,$BR192),IMSUM($BQ$100,$BR192))</f>
        <v>-3.86588819261279E-002+8.36038711692352E-003i</v>
      </c>
      <c r="BT192" s="4">
        <f>IMABS($BS192)</f>
        <v>0.039552562806006886</v>
      </c>
      <c r="BU192" s="4">
        <f t="shared" si="13"/>
        <v>1.0823627848319575</v>
      </c>
      <c r="BV192" s="4">
        <f t="shared" si="14"/>
        <v>-0.006799445496551754</v>
      </c>
    </row>
    <row r="193" spans="1:74" ht="12.75">
      <c r="A193" s="5">
        <v>90</v>
      </c>
      <c r="B193" s="5">
        <f t="shared" si="9"/>
        <v>17.8</v>
      </c>
      <c r="C193" s="4">
        <f t="shared" si="8"/>
        <v>2.796017461694916</v>
      </c>
      <c r="D193" s="4">
        <f t="shared" si="10"/>
        <v>0.3387379202452913</v>
      </c>
      <c r="E193" s="5">
        <f t="shared" si="11"/>
        <v>-0.9408807689542256</v>
      </c>
      <c r="F193" s="9" t="str">
        <f>IF($B$7&gt;0,COMPLEX($E193,0),1)</f>
        <v>-0.940880768954226</v>
      </c>
      <c r="G193" s="9" t="str">
        <f>IF($B$7&gt;0,COMPLEX(0,$D193*$B$16),0)</f>
        <v>40.5067267732186i</v>
      </c>
      <c r="H193" s="9" t="str">
        <f>IF($B$7&gt;0,COMPLEX(0,$D193/$B$16),0)</f>
        <v>2.8326993502711E-003i</v>
      </c>
      <c r="I193" s="9" t="str">
        <f>IF($B$7&gt;0,COMPLEX($E193,0),1)</f>
        <v>-0.940880768954226</v>
      </c>
      <c r="J193" s="9" t="str">
        <f>IF($B$7&gt;1,COMPLEX($E193,0),1)</f>
        <v>-0.940880768954226</v>
      </c>
      <c r="K193" s="9" t="str">
        <f>IF($B$7&gt;1,COMPLEX(0,$D193*$B$17),0)</f>
        <v>48.4384775313029i</v>
      </c>
      <c r="L193" s="9" t="str">
        <f>IF($B$7&gt;1,COMPLEX(0,$D193/$B$17),0)</f>
        <v>2.36884775203666E-003i</v>
      </c>
      <c r="M193" s="9" t="str">
        <f>IF($B$7&gt;1,COMPLEX($E193,0),1)</f>
        <v>-0.940880768954226</v>
      </c>
      <c r="N193" s="9" t="str">
        <f>IF($B$7&gt;2,COMPLEX($E193,0),1)</f>
        <v>-0.940880768954226</v>
      </c>
      <c r="O193" s="9" t="str">
        <f>IF($B$7&gt;2,COMPLEX(0,$D193*$B$18),0)</f>
        <v>57.9233695846737i</v>
      </c>
      <c r="P193" s="9" t="str">
        <f>IF($B$7&gt;2,COMPLEX(0,$D193/$B$18),0)</f>
        <v>1.98095137480513E-003i</v>
      </c>
      <c r="Q193" s="9" t="str">
        <f>IF($B$7&gt;2,COMPLEX($E193,0),1)</f>
        <v>-0.940880768954226</v>
      </c>
      <c r="R193" s="9" t="str">
        <f>IF($B$7&gt;3,COMPLEX($E193,0),1)</f>
        <v>-0.940880768954226</v>
      </c>
      <c r="S193" s="9" t="str">
        <f>IF($B$7&gt;3,COMPLEX(0,$D193*$B$19),0)</f>
        <v>69.2655284608088i</v>
      </c>
      <c r="T193" s="9" t="str">
        <f>IF($B$7&gt;3,COMPLEX(0,$D193/$B$19),0)</f>
        <v>1.65657262944335E-003i</v>
      </c>
      <c r="U193" s="9" t="str">
        <f>IF($B$7&gt;3,COMPLEX($E193,0),1)</f>
        <v>-0.940880768954226</v>
      </c>
      <c r="V193" s="9" t="str">
        <f>IF($B$7&gt;4,COMPLEX($E193,0),1)</f>
        <v>-0.940880768954226</v>
      </c>
      <c r="W193" s="9" t="str">
        <f>IF($B$7&gt;4,COMPLEX(0,$D193*$B$20),0)</f>
        <v>82.8286314721676i</v>
      </c>
      <c r="X193" s="9" t="str">
        <f>IF($B$7&gt;4,COMPLEX(0,$D193/$B$20),0)</f>
        <v>1.38531056921617E-003i</v>
      </c>
      <c r="Y193" s="9" t="str">
        <f>IF($B$7&gt;4,COMPLEX($E193,0),1)</f>
        <v>-0.940880768954226</v>
      </c>
      <c r="Z193" s="9" t="str">
        <f>IF($B$7&gt;5,COMPLEX($E193,0),1)</f>
        <v>-0.940880768954226</v>
      </c>
      <c r="AA193" s="9" t="str">
        <f>IF($B$7&gt;5,COMPLEX(0,$D193*$B$21),0)</f>
        <v>99.0475687402567i</v>
      </c>
      <c r="AB193" s="9" t="str">
        <f>IF($B$7&gt;5,COMPLEX(0,$D193/$B$21),0)</f>
        <v>1.15846739169348E-003i</v>
      </c>
      <c r="AC193" s="9" t="str">
        <f>IF($B$7&gt;5,COMPLEX($E193,0),1)</f>
        <v>-0.940880768954226</v>
      </c>
      <c r="AD193" s="9" t="str">
        <f>IF($B$7&gt;6,COMPLEX($E193,0),1)</f>
        <v>-0.940880768954226</v>
      </c>
      <c r="AE193" s="9" t="str">
        <f>IF($B$7&gt;6,COMPLEX(0,$D193*$B$22),0)</f>
        <v>118.442387601833i</v>
      </c>
      <c r="AF193" s="9" t="str">
        <f>IF($B$7&gt;6,COMPLEX(0,$D193/$B$22),0)</f>
        <v>9.68769550626059E-004i</v>
      </c>
      <c r="AG193" s="9" t="str">
        <f>IF($B$7&gt;6,COMPLEX($E193,0),1)</f>
        <v>-0.940880768954226</v>
      </c>
      <c r="AH193" s="9" t="str">
        <f>IF($B$7&gt;7,COMPLEX($E193,0),1)</f>
        <v>-0.940880768954226</v>
      </c>
      <c r="AI193" s="9" t="str">
        <f>IF($B$7&gt;7,COMPLEX(0,$D193*$B$23),0)</f>
        <v>141.634967513555i</v>
      </c>
      <c r="AJ193" s="9" t="str">
        <f>IF($B$7&gt;7,COMPLEX(0,$D193/$B$23),0)</f>
        <v>8.10134535464372E-004i</v>
      </c>
      <c r="AK193" s="9" t="str">
        <f>IF($B$7&gt;7,COMPLEX($E193,0),1)</f>
        <v>-0.940880768954226</v>
      </c>
      <c r="AL193" s="4" t="str">
        <f>IMSUM(IMPRODUCT(F193,J193),IMPRODUCT(G193,L193))</f>
        <v>0.789302352728794</v>
      </c>
      <c r="AM193" s="5" t="str">
        <f>IMSUM(IMPRODUCT(F193,K193),IMPRODUCT(G193,M193))</f>
        <v>-83.686832220829i</v>
      </c>
      <c r="AN193" s="5" t="str">
        <f>IMSUM(IMPRODUCT(H193,J193),IMPRODUCT(I193,L193))</f>
        <v>-4.89403563737095E-003i</v>
      </c>
      <c r="AO193" s="5" t="str">
        <f>IMSUM(IMPRODUCT(H193,K193),IMPRODUCT(I193,M193))</f>
        <v>0.748044977556853</v>
      </c>
      <c r="AP193" s="4" t="str">
        <f>IMSUM(IMPRODUCT(AL193,N193),IMPRODUCT(AM193,P193))</f>
        <v>-0.57685985923191</v>
      </c>
      <c r="AQ193" s="5" t="str">
        <f>IMSUM(IMPRODUCT(AL193,O193),IMPRODUCT(AM193,Q193))</f>
        <v>124.458382942439i</v>
      </c>
      <c r="AR193" s="5" t="str">
        <f>IMSUM(IMPRODUCT(AN193,N193),IMPRODUCT(AO193,P193))</f>
        <v>6.08654474048629E-003i</v>
      </c>
      <c r="AS193" s="5" t="str">
        <f>IMSUM(IMPRODUCT(AN193,O193),IMPRODUCT(AO193,Q193))</f>
        <v>-0.420342098712036</v>
      </c>
      <c r="AT193" s="4" t="str">
        <f>IMSUM(IMPRODUCT(AP193,R193),IMPRODUCT(AQ193,T193))</f>
        <v>0.336581997245722</v>
      </c>
      <c r="AU193" s="5" t="str">
        <f>IMSUM(IMPRODUCT(AP193,S193),IMPRODUCT(AQ193,U193))</f>
        <v>-157.057002043208i</v>
      </c>
      <c r="AV193" s="5" t="str">
        <f>IMSUM(IMPRODUCT(AR193,R193),IMPRODUCT(AS193,T193))</f>
        <v>-6.42304011143217E-003i</v>
      </c>
      <c r="AW193" s="5" t="str">
        <f>IMSUM(IMPRODUCT(AR193,S193),IMPRODUCT(AS193,U193))</f>
        <v>-2.6095940890125E-002</v>
      </c>
      <c r="AX193" s="4" t="str">
        <f>IMSUM(IMPRODUCT(AT193,V193),IMPRODUCT(AU193,X193))</f>
        <v>-9.9110803484842E-002</v>
      </c>
      <c r="AY193" s="5" t="str">
        <f>IMSUM(IMPRODUCT(AT193,W193),IMPRODUCT(AU193,Y193))</f>
        <v>175.650539062091i</v>
      </c>
      <c r="AZ193" s="5" t="str">
        <f>IMSUM(IMPRODUCT(AV193,V193),IMPRODUCT(AW193,X193))</f>
        <v>6.00716393633941E-003i</v>
      </c>
      <c r="BA193" s="5" t="str">
        <f>IMSUM(IMPRODUCT(AV193,W193),IMPRODUCT(AW193,Y193))</f>
        <v>0.55656479125205</v>
      </c>
      <c r="BB193" s="4" t="str">
        <f>IMSUM(IMPRODUCT(AX193,Z193),IMPRODUCT(AY193,AB193))</f>
        <v>-0.110233972842325</v>
      </c>
      <c r="BC193" s="5" t="str">
        <f>IMSUM(IMPRODUCT(AX193,AA193),IMPRODUCT(AY193,AC193))</f>
        <v>-175.082898381032i</v>
      </c>
      <c r="BD193" s="5" t="str">
        <f>IMSUM(IMPRODUCT(AZ193,Z193),IMPRODUCT(BA193,AB193))</f>
        <v>-5.00726286162693E-003i</v>
      </c>
      <c r="BE193" s="5" t="str">
        <f>IMSUM(IMPRODUCT(AZ193,AA193),IMPRODUCT(BA193,AC193))</f>
        <v>-1.11865609168465</v>
      </c>
      <c r="BF193" s="4" t="str">
        <f>IMSUM(IMPRODUCT(BB193,AD193),IMPRODUCT(BC193,AF193))</f>
        <v>0.273332005919666</v>
      </c>
      <c r="BG193" s="5" t="str">
        <f>IMSUM(IMPRODUCT(BB193,AE193),IMPRODUCT(BC193,AG193))</f>
        <v>151.675757121199i</v>
      </c>
      <c r="BH193" s="5" t="str">
        <f>IMSUM(IMPRODUCT(BD193,AD193),IMPRODUCT(BE193,AF193))</f>
        <v>3.62751737235704E-003i</v>
      </c>
      <c r="BI193" s="5" t="str">
        <f>IMSUM(IMPRODUCT(BD193,AE193),IMPRODUCT(BE193,AG193))</f>
        <v>1.64559417242066</v>
      </c>
      <c r="BJ193" s="4" t="str">
        <f>IMSUM(IMPRODUCT(BF193,AH193),IMPRODUCT(BG193,AJ193))</f>
        <v>-0.380050596946085</v>
      </c>
      <c r="BK193" s="5" t="str">
        <f>IMSUM(IMPRODUCT(BF193,AI193),IMPRODUCT(BG193,AK193))</f>
        <v>-103.995433213061i</v>
      </c>
      <c r="BL193" s="5" t="str">
        <f>IMSUM(IMPRODUCT(BH193,AH193),IMPRODUCT(BI193,AJ193))</f>
        <v>-2.07990866426122E-003i</v>
      </c>
      <c r="BM193" s="5" t="str">
        <f>IMSUM(IMPRODUCT(BH193,AI193),IMPRODUCT(BI193,AK193))</f>
        <v>-2.06209121552239</v>
      </c>
      <c r="BN193" s="4">
        <f t="shared" si="12"/>
        <v>500</v>
      </c>
      <c r="BO193" s="4">
        <v>1</v>
      </c>
      <c r="BP193" s="4" t="str">
        <f>IMSUM(IMPRODUCT($BJ193,$BN193),IMPRODUCT($BK193,$BO193))</f>
        <v>-190.025298473043-103.995433213061i</v>
      </c>
      <c r="BQ193" s="4" t="str">
        <f>IMSUM(IMPRODUCT($BL193,$BN193),IMPRODUCT($BM193,$BO193))</f>
        <v>-2.06209121552239-1.03995433213061i</v>
      </c>
      <c r="BR193" s="4" t="str">
        <f>IMDIV($BP193,$BQ193)</f>
        <v>93.7431123293724+3.15547507779639i</v>
      </c>
      <c r="BS193" s="4" t="str">
        <f>IMDIV(IMSUB($BQ$100,$BR193),IMSUM($BQ$100,$BR193))</f>
        <v>3.20210046698624E-002-1.68084249336406E-002i</v>
      </c>
      <c r="BT193" s="4">
        <f>IMABS($BS193)</f>
        <v>0.03616445615265326</v>
      </c>
      <c r="BU193" s="4">
        <f t="shared" si="13"/>
        <v>1.0750427941436886</v>
      </c>
      <c r="BV193" s="4">
        <f t="shared" si="14"/>
        <v>-0.005683715657021434</v>
      </c>
    </row>
    <row r="194" spans="1:74" ht="12.75">
      <c r="A194" s="5">
        <v>91</v>
      </c>
      <c r="B194" s="5">
        <f t="shared" si="9"/>
        <v>18</v>
      </c>
      <c r="C194" s="4">
        <f t="shared" si="8"/>
        <v>2.827433388230814</v>
      </c>
      <c r="D194" s="4">
        <f t="shared" si="10"/>
        <v>0.3090169943749475</v>
      </c>
      <c r="E194" s="5">
        <f t="shared" si="11"/>
        <v>-0.9510565162951535</v>
      </c>
      <c r="F194" s="9" t="str">
        <f>IF($B$7&gt;0,COMPLEX($E194,0),1)</f>
        <v>-0.951056516295154</v>
      </c>
      <c r="G194" s="9" t="str">
        <f>IF($B$7&gt;0,COMPLEX(0,$D194*$B$16),0)</f>
        <v>36.9526593018079i</v>
      </c>
      <c r="H194" s="9" t="str">
        <f>IF($B$7&gt;0,COMPLEX(0,$D194/$B$16),0)</f>
        <v>2.58415780127236E-003i</v>
      </c>
      <c r="I194" s="9" t="str">
        <f>IF($B$7&gt;0,COMPLEX($E194,0),1)</f>
        <v>-0.951056516295154</v>
      </c>
      <c r="J194" s="9" t="str">
        <f>IF($B$7&gt;1,COMPLEX($E194,0),1)</f>
        <v>-0.951056516295154</v>
      </c>
      <c r="K194" s="9" t="str">
        <f>IF($B$7&gt;1,COMPLEX(0,$D194*$B$17),0)</f>
        <v>44.1884768259267i</v>
      </c>
      <c r="L194" s="9" t="str">
        <f>IF($B$7&gt;1,COMPLEX(0,$D194/$B$17),0)</f>
        <v>2.16100462545246E-003i</v>
      </c>
      <c r="M194" s="9" t="str">
        <f>IF($B$7&gt;1,COMPLEX($E194,0),1)</f>
        <v>-0.951056516295154</v>
      </c>
      <c r="N194" s="9" t="str">
        <f>IF($B$7&gt;2,COMPLEX($E194,0),1)</f>
        <v>-0.951056516295154</v>
      </c>
      <c r="O194" s="9" t="str">
        <f>IF($B$7&gt;2,COMPLEX(0,$D194*$B$18),0)</f>
        <v>52.8411627495488i</v>
      </c>
      <c r="P194" s="9" t="str">
        <f>IF($B$7&gt;2,COMPLEX(0,$D194/$B$18),0)</f>
        <v>1.80714234592314E-003i</v>
      </c>
      <c r="Q194" s="9" t="str">
        <f>IF($B$7&gt;2,COMPLEX($E194,0),1)</f>
        <v>-0.951056516295154</v>
      </c>
      <c r="R194" s="9" t="str">
        <f>IF($B$7&gt;3,COMPLEX($E194,0),1)</f>
        <v>-0.951056516295154</v>
      </c>
      <c r="S194" s="9" t="str">
        <f>IF($B$7&gt;3,COMPLEX(0,$D194*$B$19),0)</f>
        <v>63.1881585718304i</v>
      </c>
      <c r="T194" s="9" t="str">
        <f>IF($B$7&gt;3,COMPLEX(0,$D194/$B$19),0)</f>
        <v>1.51122464985231E-003i</v>
      </c>
      <c r="U194" s="9" t="str">
        <f>IF($B$7&gt;3,COMPLEX($E194,0),1)</f>
        <v>-0.951056516295154</v>
      </c>
      <c r="V194" s="9" t="str">
        <f>IF($B$7&gt;4,COMPLEX($E194,0),1)</f>
        <v>-0.951056516295154</v>
      </c>
      <c r="W194" s="9" t="str">
        <f>IF($B$7&gt;4,COMPLEX(0,$D194*$B$20),0)</f>
        <v>75.5612324926153i</v>
      </c>
      <c r="X194" s="9" t="str">
        <f>IF($B$7&gt;4,COMPLEX(0,$D194/$B$20),0)</f>
        <v>1.26376317143661E-003i</v>
      </c>
      <c r="Y194" s="9" t="str">
        <f>IF($B$7&gt;4,COMPLEX($E194,0),1)</f>
        <v>-0.951056516295154</v>
      </c>
      <c r="Z194" s="9" t="str">
        <f>IF($B$7&gt;5,COMPLEX($E194,0),1)</f>
        <v>-0.951056516295154</v>
      </c>
      <c r="AA194" s="9" t="str">
        <f>IF($B$7&gt;5,COMPLEX(0,$D194*$B$21),0)</f>
        <v>90.3571172961572i</v>
      </c>
      <c r="AB194" s="9" t="str">
        <f>IF($B$7&gt;5,COMPLEX(0,$D194/$B$21),0)</f>
        <v>1.05682325499098E-003i</v>
      </c>
      <c r="AC194" s="9" t="str">
        <f>IF($B$7&gt;5,COMPLEX($E194,0),1)</f>
        <v>-0.951056516295154</v>
      </c>
      <c r="AD194" s="9" t="str">
        <f>IF($B$7&gt;6,COMPLEX($E194,0),1)</f>
        <v>-0.951056516295154</v>
      </c>
      <c r="AE194" s="9" t="str">
        <f>IF($B$7&gt;6,COMPLEX(0,$D194*$B$22),0)</f>
        <v>108.050231272623i</v>
      </c>
      <c r="AF194" s="9" t="str">
        <f>IF($B$7&gt;6,COMPLEX(0,$D194/$B$22),0)</f>
        <v>8.83769536518534E-004i</v>
      </c>
      <c r="AG194" s="9" t="str">
        <f>IF($B$7&gt;6,COMPLEX($E194,0),1)</f>
        <v>-0.951056516295154</v>
      </c>
      <c r="AH194" s="9" t="str">
        <f>IF($B$7&gt;7,COMPLEX($E194,0),1)</f>
        <v>-0.951056516295154</v>
      </c>
      <c r="AI194" s="9" t="str">
        <f>IF($B$7&gt;7,COMPLEX(0,$D194*$B$23),0)</f>
        <v>129.207890063618i</v>
      </c>
      <c r="AJ194" s="9" t="str">
        <f>IF($B$7&gt;7,COMPLEX(0,$D194/$B$23),0)</f>
        <v>7.39053186036158E-004i</v>
      </c>
      <c r="AK194" s="9" t="str">
        <f>IF($B$7&gt;7,COMPLEX($E194,0),1)</f>
        <v>-0.951056516295154</v>
      </c>
      <c r="AL194" s="4" t="str">
        <f>IMSUM(IMPRODUCT(F194,J194),IMPRODUCT(G194,L194))</f>
        <v>0.824653629513499</v>
      </c>
      <c r="AM194" s="5" t="str">
        <f>IMSUM(IMPRODUCT(F194,K194),IMPRODUCT(G194,M194))</f>
        <v>-77.1698062538741i</v>
      </c>
      <c r="AN194" s="5" t="str">
        <f>IMSUM(IMPRODUCT(H194,J194),IMPRODUCT(I194,L194))</f>
        <v>-4.51291764681557E-003i</v>
      </c>
      <c r="AO194" s="5" t="str">
        <f>IMSUM(IMPRODUCT(H194,K194),IMPRODUCT(I194,M194))</f>
        <v>0.790318500071414</v>
      </c>
      <c r="AP194" s="4" t="str">
        <f>IMSUM(IMPRODUCT(AL194,N194),IMPRODUCT(AM194,P194))</f>
        <v>-0.644835383327203</v>
      </c>
      <c r="AQ194" s="5" t="str">
        <f>IMSUM(IMPRODUCT(AL194,O194),IMPRODUCT(AM194,Q194))</f>
        <v>116.96850374811i</v>
      </c>
      <c r="AR194" s="5" t="str">
        <f>IMSUM(IMPRODUCT(AN194,N194),IMPRODUCT(AO194,P194))</f>
        <v>5.72025776375285E-003i</v>
      </c>
      <c r="AS194" s="5" t="str">
        <f>IMSUM(IMPRODUCT(AN194,O194),IMPRODUCT(AO194,Q194))</f>
        <v>-0.513169743590838</v>
      </c>
      <c r="AT194" s="4" t="str">
        <f>IMSUM(IMPRODUCT(AP194,R194),IMPRODUCT(AQ194,T194))</f>
        <v>0.436509207130534</v>
      </c>
      <c r="AU194" s="5" t="str">
        <f>IMSUM(IMPRODUCT(AP194,S194),IMPRODUCT(AQ194,U194))</f>
        <v>-151.98961814534i</v>
      </c>
      <c r="AV194" s="5" t="str">
        <f>IMSUM(IMPRODUCT(AR194,R194),IMPRODUCT(AS194,T194))</f>
        <v>-6.21580318717795E-003i</v>
      </c>
      <c r="AW194" s="5" t="str">
        <f>IMSUM(IMPRODUCT(AR194,S194),IMPRODUCT(AS194,U194))</f>
        <v>0.126600873959821</v>
      </c>
      <c r="AX194" s="4" t="str">
        <f>IMSUM(IMPRODUCT(AT194,V194),IMPRODUCT(AU194,X194))</f>
        <v>-0.223066044011531</v>
      </c>
      <c r="AY194" s="5" t="str">
        <f>IMSUM(IMPRODUCT(AT194,W194),IMPRODUCT(AU194,Y194))</f>
        <v>177.533890431495i</v>
      </c>
      <c r="AZ194" s="5" t="str">
        <f>IMSUM(IMPRODUCT(AV194,V194),IMPRODUCT(AW194,X194))</f>
        <v>6.07157364715589E-003i</v>
      </c>
      <c r="BA194" s="5" t="str">
        <f>IMSUM(IMPRODUCT(AV194,W194),IMPRODUCT(AW194,Y194))</f>
        <v>0.349269163606543</v>
      </c>
      <c r="BB194" s="4" t="str">
        <f>IMSUM(IMPRODUCT(AX194,Z194),IMPRODUCT(AY194,AB194))</f>
        <v>2.4526470764323E-002</v>
      </c>
      <c r="BC194" s="5" t="str">
        <f>IMSUM(IMPRODUCT(AX194,AA194),IMPRODUCT(AY194,AC194))</f>
        <v>-189.000368061643i</v>
      </c>
      <c r="BD194" s="5" t="str">
        <f>IMSUM(IMPRODUCT(AZ194,Z194),IMPRODUCT(BA194,AB194))</f>
        <v>-5.4052939069429E-003i</v>
      </c>
      <c r="BE194" s="5" t="str">
        <f>IMSUM(IMPRODUCT(AZ194,AA194),IMPRODUCT(BA194,AC194))</f>
        <v>-0.880784606197283</v>
      </c>
      <c r="BF194" s="4" t="str">
        <f>IMSUM(IMPRODUCT(BB194,AD194),IMPRODUCT(BC194,AF194))</f>
        <v>0.143706707841539</v>
      </c>
      <c r="BG194" s="5" t="str">
        <f>IMSUM(IMPRODUCT(BB194,AE194),IMPRODUCT(BC194,AG194))</f>
        <v>182.400122465594i</v>
      </c>
      <c r="BH194" s="5" t="str">
        <f>IMSUM(IMPRODUCT(BD194,AD194),IMPRODUCT(BE194,AF194))</f>
        <v>4.36232938949691E-003i</v>
      </c>
      <c r="BI194" s="5" t="str">
        <f>IMSUM(IMPRODUCT(BD194,AE194),IMPRODUCT(BE194,AG194))</f>
        <v>1.42171919591807</v>
      </c>
      <c r="BJ194" s="4" t="str">
        <f>IMSUM(IMPRODUCT(BF194,AH194),IMPRODUCT(BG194,AJ194))</f>
        <v>-0.271476592569603</v>
      </c>
      <c r="BK194" s="5" t="str">
        <f>IMSUM(IMPRODUCT(BF194,AI194),IMPRODUCT(BG194,AK194))</f>
        <v>-154.904784535743i</v>
      </c>
      <c r="BL194" s="5" t="str">
        <f>IMSUM(IMPRODUCT(BH194,AH194),IMPRODUCT(BI194,AJ194))</f>
        <v>-3.09809569071489E-003i</v>
      </c>
      <c r="BM194" s="5" t="str">
        <f>IMSUM(IMPRODUCT(BH194,AI194),IMPRODUCT(BI194,AK194))</f>
        <v>-1.9157826817992</v>
      </c>
      <c r="BN194" s="4">
        <f t="shared" si="12"/>
        <v>500</v>
      </c>
      <c r="BO194" s="4">
        <v>1</v>
      </c>
      <c r="BP194" s="4" t="str">
        <f>IMSUM(IMPRODUCT($BJ194,$BN194),IMPRODUCT($BK194,$BO194))</f>
        <v>-135.738296284801-154.904784535743i</v>
      </c>
      <c r="BQ194" s="4" t="str">
        <f>IMSUM(IMPRODUCT($BL194,$BN194),IMPRODUCT($BM194,$BO194))</f>
        <v>-1.9157826817992-1.54904784535745i</v>
      </c>
      <c r="BR194" s="4" t="str">
        <f>IMDIV($BP194,$BQ194)</f>
        <v>82.3754101305445+14.2507462991297i</v>
      </c>
      <c r="BS194" s="4" t="str">
        <f>IMDIV(IMSUB($BQ$100,$BR194),IMSUM($BQ$100,$BR194))</f>
        <v>8.99838445665107E-002-8.51709297210014E-002i</v>
      </c>
      <c r="BT194" s="4">
        <f>IMABS($BS194)</f>
        <v>0.12389987712871114</v>
      </c>
      <c r="BU194" s="4">
        <f t="shared" si="13"/>
        <v>1.2828441039881324</v>
      </c>
      <c r="BV194" s="4">
        <f t="shared" si="14"/>
        <v>-0.0671863502140369</v>
      </c>
    </row>
    <row r="195" spans="1:74" ht="12.75">
      <c r="A195" s="5">
        <v>92</v>
      </c>
      <c r="B195" s="5">
        <f t="shared" si="9"/>
        <v>18.2</v>
      </c>
      <c r="C195" s="4">
        <f t="shared" si="8"/>
        <v>2.8588493147667116</v>
      </c>
      <c r="D195" s="4">
        <f t="shared" si="10"/>
        <v>0.27899110603922955</v>
      </c>
      <c r="E195" s="5">
        <f t="shared" si="11"/>
        <v>-0.9602936856769431</v>
      </c>
      <c r="F195" s="9" t="str">
        <f>IF($B$7&gt;0,COMPLEX($E195,0),1)</f>
        <v>-0.960293685676943</v>
      </c>
      <c r="G195" s="9" t="str">
        <f>IF($B$7&gt;0,COMPLEX(0,$D195*$B$16),0)</f>
        <v>33.3621240170149i</v>
      </c>
      <c r="H195" s="9" t="str">
        <f>IF($B$7&gt;0,COMPLEX(0,$D195/$B$16),0)</f>
        <v>2.33306600051291E-003i</v>
      </c>
      <c r="I195" s="9" t="str">
        <f>IF($B$7&gt;0,COMPLEX($E195,0),1)</f>
        <v>-0.960293685676943</v>
      </c>
      <c r="J195" s="9" t="str">
        <f>IF($B$7&gt;1,COMPLEX($E195,0),1)</f>
        <v>-0.960293685676943</v>
      </c>
      <c r="K195" s="9" t="str">
        <f>IF($B$7&gt;1,COMPLEX(0,$D195*$B$17),0)</f>
        <v>39.8948674288627i</v>
      </c>
      <c r="L195" s="9" t="str">
        <f>IF($B$7&gt;1,COMPLEX(0,$D195/$B$17),0)</f>
        <v>1.95102884820418E-003i</v>
      </c>
      <c r="M195" s="9" t="str">
        <f>IF($B$7&gt;1,COMPLEX($E195,0),1)</f>
        <v>-0.960293685676943</v>
      </c>
      <c r="N195" s="9" t="str">
        <f>IF($B$7&gt;2,COMPLEX($E195,0),1)</f>
        <v>-0.960293685676943</v>
      </c>
      <c r="O195" s="9" t="str">
        <f>IF($B$7&gt;2,COMPLEX(0,$D195*$B$18),0)</f>
        <v>47.706808066381i</v>
      </c>
      <c r="P195" s="9" t="str">
        <f>IF($B$7&gt;2,COMPLEX(0,$D195/$B$18),0)</f>
        <v>1.63154988572467E-003i</v>
      </c>
      <c r="Q195" s="9" t="str">
        <f>IF($B$7&gt;2,COMPLEX($E195,0),1)</f>
        <v>-0.960293685676943</v>
      </c>
      <c r="R195" s="9" t="str">
        <f>IF($B$7&gt;3,COMPLEX($E195,0),1)</f>
        <v>-0.960293685676943</v>
      </c>
      <c r="S195" s="9" t="str">
        <f>IF($B$7&gt;3,COMPLEX(0,$D195*$B$19),0)</f>
        <v>57.0484295991405i</v>
      </c>
      <c r="T195" s="9" t="str">
        <f>IF($B$7&gt;3,COMPLEX(0,$D195/$B$19),0)</f>
        <v>1.36438527398422E-003i</v>
      </c>
      <c r="U195" s="9" t="str">
        <f>IF($B$7&gt;3,COMPLEX($E195,0),1)</f>
        <v>-0.960293685676943</v>
      </c>
      <c r="V195" s="9" t="str">
        <f>IF($B$7&gt;4,COMPLEX($E195,0),1)</f>
        <v>-0.960293685676943</v>
      </c>
      <c r="W195" s="9" t="str">
        <f>IF($B$7&gt;4,COMPLEX(0,$D195*$B$20),0)</f>
        <v>68.2192636992109i</v>
      </c>
      <c r="X195" s="9" t="str">
        <f>IF($B$7&gt;4,COMPLEX(0,$D195/$B$20),0)</f>
        <v>1.14096859198281E-003i</v>
      </c>
      <c r="Y195" s="9" t="str">
        <f>IF($B$7&gt;4,COMPLEX($E195,0),1)</f>
        <v>-0.960293685676943</v>
      </c>
      <c r="Z195" s="9" t="str">
        <f>IF($B$7&gt;5,COMPLEX($E195,0),1)</f>
        <v>-0.960293685676943</v>
      </c>
      <c r="AA195" s="9" t="str">
        <f>IF($B$7&gt;5,COMPLEX(0,$D195*$B$21),0)</f>
        <v>81.5774942862334i</v>
      </c>
      <c r="AB195" s="9" t="str">
        <f>IF($B$7&gt;5,COMPLEX(0,$D195/$B$21),0)</f>
        <v>9.54136161327621E-004i</v>
      </c>
      <c r="AC195" s="9" t="str">
        <f>IF($B$7&gt;5,COMPLEX($E195,0),1)</f>
        <v>-0.960293685676943</v>
      </c>
      <c r="AD195" s="9" t="str">
        <f>IF($B$7&gt;6,COMPLEX($E195,0),1)</f>
        <v>-0.960293685676943</v>
      </c>
      <c r="AE195" s="9" t="str">
        <f>IF($B$7&gt;6,COMPLEX(0,$D195*$B$22),0)</f>
        <v>97.5514424102091i</v>
      </c>
      <c r="AF195" s="9" t="str">
        <f>IF($B$7&gt;6,COMPLEX(0,$D195/$B$22),0)</f>
        <v>7.97897348577255E-004i</v>
      </c>
      <c r="AG195" s="9" t="str">
        <f>IF($B$7&gt;6,COMPLEX($E195,0),1)</f>
        <v>-0.960293685676943</v>
      </c>
      <c r="AH195" s="9" t="str">
        <f>IF($B$7&gt;7,COMPLEX($E195,0),1)</f>
        <v>-0.960293685676943</v>
      </c>
      <c r="AI195" s="9" t="str">
        <f>IF($B$7&gt;7,COMPLEX(0,$D195*$B$23),0)</f>
        <v>116.653300025645i</v>
      </c>
      <c r="AJ195" s="9" t="str">
        <f>IF($B$7&gt;7,COMPLEX(0,$D195/$B$23),0)</f>
        <v>6.67242480340299E-004i</v>
      </c>
      <c r="AK195" s="9" t="str">
        <f>IF($B$7&gt;7,COMPLEX($E195,0),1)</f>
        <v>-0.960293685676943</v>
      </c>
      <c r="AL195" s="4" t="str">
        <f>IMSUM(IMPRODUCT(F195,J195),IMPRODUCT(G195,L195))</f>
        <v>0.857073496356445</v>
      </c>
      <c r="AM195" s="5" t="str">
        <f>IMSUM(IMPRODUCT(F195,K195),IMPRODUCT(G195,M195))</f>
        <v>-70.3482263171661i</v>
      </c>
      <c r="AN195" s="5" t="str">
        <f>IMSUM(IMPRODUCT(H195,J195),IMPRODUCT(I195,L195))</f>
        <v>-4.11398923206414E-003i</v>
      </c>
      <c r="AO195" s="5" t="str">
        <f>IMSUM(IMPRODUCT(H195,K195),IMPRODUCT(I195,M195))</f>
        <v>0.829086603957757</v>
      </c>
      <c r="AP195" s="4" t="str">
        <f>IMSUM(IMPRODUCT(AL195,N195),IMPRODUCT(AM195,P195))</f>
        <v>-0.708265626103449</v>
      </c>
      <c r="AQ195" s="5" t="str">
        <f>IMSUM(IMPRODUCT(AL195,O195),IMPRODUCT(AM195,Q195))</f>
        <v>108.443198320406i</v>
      </c>
      <c r="AR195" s="5" t="str">
        <f>IMSUM(IMPRODUCT(AN195,N195),IMPRODUCT(AO195,P195))</f>
        <v>5.30333403643726E-003i</v>
      </c>
      <c r="AS195" s="5" t="str">
        <f>IMSUM(IMPRODUCT(AN195,O195),IMPRODUCT(AO195,Q195))</f>
        <v>-0.599901335978732</v>
      </c>
      <c r="AT195" s="4" t="str">
        <f>IMSUM(IMPRODUCT(AP195,R195),IMPRODUCT(AQ195,T195))</f>
        <v>0.532184705677057</v>
      </c>
      <c r="AU195" s="5" t="str">
        <f>IMSUM(IMPRODUCT(AP195,S195),IMPRODUCT(AQ195,U195))</f>
        <v>-144.542760309952i</v>
      </c>
      <c r="AV195" s="5" t="str">
        <f>IMSUM(IMPRODUCT(AR195,R195),IMPRODUCT(AS195,T195))</f>
        <v>-5.91125473687916E-003i</v>
      </c>
      <c r="AW195" s="5" t="str">
        <f>IMSUM(IMPRODUCT(AR195,S195),IMPRODUCT(AS195,U195))</f>
        <v>0.273534586551122</v>
      </c>
      <c r="AX195" s="4" t="str">
        <f>IMSUM(IMPRODUCT(AT195,V195),IMPRODUCT(AU195,X195))</f>
        <v>-0.346134862763365</v>
      </c>
      <c r="AY195" s="5" t="str">
        <f>IMSUM(IMPRODUCT(AT195,W195),IMPRODUCT(AU195,Y195))</f>
        <v>175.108748809233i</v>
      </c>
      <c r="AZ195" s="5" t="str">
        <f>IMSUM(IMPRODUCT(AV195,V195),IMPRODUCT(AW195,X195))</f>
        <v>5.98863497032881E-003i</v>
      </c>
      <c r="BA195" s="5" t="str">
        <f>IMSUM(IMPRODUCT(AV195,W195),IMPRODUCT(AW195,Y195))</f>
        <v>0.140587909409073</v>
      </c>
      <c r="BB195" s="4" t="str">
        <f>IMSUM(IMPRODUCT(AX195,Z195),IMPRODUCT(AY195,AB195))</f>
        <v>0.165313533700591</v>
      </c>
      <c r="BC195" s="5" t="str">
        <f>IMSUM(IMPRODUCT(AX195,AA195),IMPRODUCT(AY195,AC195))</f>
        <v>-196.392640577641i</v>
      </c>
      <c r="BD195" s="5" t="str">
        <f>IMSUM(IMPRODUCT(AZ195,Z195),IMPRODUCT(BA195,AB195))</f>
        <v>-5.61670833961823E-003i</v>
      </c>
      <c r="BE195" s="5" t="str">
        <f>IMSUM(IMPRODUCT(AZ195,AA195),IMPRODUCT(BA195,AC195))</f>
        <v>-0.623543516762391</v>
      </c>
      <c r="BF195" s="4" t="str">
        <f>IMSUM(IMPRODUCT(BB195,AD195),IMPRODUCT(BC195,AF195))</f>
        <v>-2.048375372634E-003</v>
      </c>
      <c r="BG195" s="5" t="str">
        <f>IMSUM(IMPRODUCT(BB195,AE195),IMPRODUCT(BC195,AG195))</f>
        <v>204.721186322551i</v>
      </c>
      <c r="BH195" s="5" t="str">
        <f>IMSUM(IMPRODUCT(BD195,AD195),IMPRODUCT(BE195,AF195))</f>
        <v>4.89616583407716E-003i</v>
      </c>
      <c r="BI195" s="5" t="str">
        <f>IMSUM(IMPRODUCT(BD195,AE195),IMPRODUCT(BE195,AG195))</f>
        <v>1.14670290201893</v>
      </c>
      <c r="BJ195" s="4" t="str">
        <f>IMSUM(IMPRODUCT(BF195,AH195),IMPRODUCT(BG195,AJ195))</f>
        <v>-0.13463163020383</v>
      </c>
      <c r="BK195" s="5" t="str">
        <f>IMSUM(IMPRODUCT(BF195,AI195),IMPRODUCT(BG195,AK195))</f>
        <v>-196.831412296748i</v>
      </c>
      <c r="BL195" s="5" t="str">
        <f>IMSUM(IMPRODUCT(BH195,AH195),IMPRODUCT(BI195,AJ195))</f>
        <v>-3.93662824593495E-003i</v>
      </c>
      <c r="BM195" s="5" t="str">
        <f>IMSUM(IMPRODUCT(BH195,AI195),IMPRODUCT(BI195,AK195))</f>
        <v>-1.67232545817412</v>
      </c>
      <c r="BN195" s="4">
        <f t="shared" si="12"/>
        <v>500</v>
      </c>
      <c r="BO195" s="4">
        <v>1</v>
      </c>
      <c r="BP195" s="4" t="str">
        <f>IMSUM(IMPRODUCT($BJ195,$BN195),IMPRODUCT($BK195,$BO195))</f>
        <v>-67.315815101915-196.831412296748i</v>
      </c>
      <c r="BQ195" s="4" t="str">
        <f>IMSUM(IMPRODUCT($BL195,$BN195),IMPRODUCT($BM195,$BO195))</f>
        <v>-1.67232545817412-1.96831412296747i</v>
      </c>
      <c r="BR195" s="4" t="str">
        <f>IMDIV($BP195,$BQ195)</f>
        <v>74.9520352912554+29.4812606283247i</v>
      </c>
      <c r="BS195" s="4" t="str">
        <f>IMDIV(IMSUB($BQ$100,$BR195),IMSUM($BQ$100,$BR195))</f>
        <v>0.111605539555119-0.187317241396803i</v>
      </c>
      <c r="BT195" s="4">
        <f>IMABS($BS195)</f>
        <v>0.2180448242538616</v>
      </c>
      <c r="BU195" s="4">
        <f t="shared" si="13"/>
        <v>1.5576913639475667</v>
      </c>
      <c r="BV195" s="4">
        <f t="shared" si="14"/>
        <v>-0.21154870720312186</v>
      </c>
    </row>
    <row r="196" spans="1:74" ht="12.75">
      <c r="A196" s="5">
        <v>93</v>
      </c>
      <c r="B196" s="5">
        <f t="shared" si="9"/>
        <v>18.400000000000002</v>
      </c>
      <c r="C196" s="4">
        <f t="shared" si="8"/>
        <v>2.89026524130261</v>
      </c>
      <c r="D196" s="4">
        <f t="shared" si="10"/>
        <v>0.24868988716485435</v>
      </c>
      <c r="E196" s="5">
        <f t="shared" si="11"/>
        <v>-0.9685831611286312</v>
      </c>
      <c r="F196" s="9" t="str">
        <f>IF($B$7&gt;0,COMPLEX($E196,0),1)</f>
        <v>-0.968583161128631</v>
      </c>
      <c r="G196" s="9" t="str">
        <f>IF($B$7&gt;0,COMPLEX(0,$D196*$B$16),0)</f>
        <v>29.7386643436751i</v>
      </c>
      <c r="H196" s="9" t="str">
        <f>IF($B$7&gt;0,COMPLEX(0,$D196/$B$16),0)</f>
        <v>2.07967174528542E-003i</v>
      </c>
      <c r="I196" s="9" t="str">
        <f>IF($B$7&gt;0,COMPLEX($E196,0),1)</f>
        <v>-0.968583161128631</v>
      </c>
      <c r="J196" s="9" t="str">
        <f>IF($B$7&gt;1,COMPLEX($E196,0),1)</f>
        <v>-0.968583161128631</v>
      </c>
      <c r="K196" s="9" t="str">
        <f>IF($B$7&gt;1,COMPLEX(0,$D196*$B$17),0)</f>
        <v>35.5618866142121i</v>
      </c>
      <c r="L196" s="9" t="str">
        <f>IF($B$7&gt;1,COMPLEX(0,$D196/$B$17),0)</f>
        <v>1.73912764103329E-003i</v>
      </c>
      <c r="M196" s="9" t="str">
        <f>IF($B$7&gt;1,COMPLEX($E196,0),1)</f>
        <v>-0.968583161128631</v>
      </c>
      <c r="N196" s="9" t="str">
        <f>IF($B$7&gt;2,COMPLEX($E196,0),1)</f>
        <v>-0.968583161128631</v>
      </c>
      <c r="O196" s="9" t="str">
        <f>IF($B$7&gt;2,COMPLEX(0,$D196*$B$18),0)</f>
        <v>42.5253725233643i</v>
      </c>
      <c r="P196" s="9" t="str">
        <f>IF($B$7&gt;2,COMPLEX(0,$D196/$B$18),0)</f>
        <v>1.45434728276838E-003i</v>
      </c>
      <c r="Q196" s="9" t="str">
        <f>IF($B$7&gt;2,COMPLEX($E196,0),1)</f>
        <v>-0.968583161128631</v>
      </c>
      <c r="R196" s="9" t="str">
        <f>IF($B$7&gt;3,COMPLEX($E196,0),1)</f>
        <v>-0.968583161128631</v>
      </c>
      <c r="S196" s="9" t="str">
        <f>IF($B$7&gt;3,COMPLEX(0,$D196*$B$19),0)</f>
        <v>50.8524007139764i</v>
      </c>
      <c r="T196" s="9" t="str">
        <f>IF($B$7&gt;3,COMPLEX(0,$D196/$B$19),0)</f>
        <v>1.21619941457493E-003i</v>
      </c>
      <c r="U196" s="9" t="str">
        <f>IF($B$7&gt;3,COMPLEX($E196,0),1)</f>
        <v>-0.968583161128631</v>
      </c>
      <c r="V196" s="9" t="str">
        <f>IF($B$7&gt;4,COMPLEX($E196,0),1)</f>
        <v>-0.968583161128631</v>
      </c>
      <c r="W196" s="9" t="str">
        <f>IF($B$7&gt;4,COMPLEX(0,$D196*$B$20),0)</f>
        <v>60.8099707287466i</v>
      </c>
      <c r="X196" s="9" t="str">
        <f>IF($B$7&gt;4,COMPLEX(0,$D196/$B$20),0)</f>
        <v>1.01704801427953E-003i</v>
      </c>
      <c r="Y196" s="9" t="str">
        <f>IF($B$7&gt;4,COMPLEX($E196,0),1)</f>
        <v>-0.968583161128631</v>
      </c>
      <c r="Z196" s="9" t="str">
        <f>IF($B$7&gt;5,COMPLEX($E196,0),1)</f>
        <v>-0.968583161128631</v>
      </c>
      <c r="AA196" s="9" t="str">
        <f>IF($B$7&gt;5,COMPLEX(0,$D196*$B$21),0)</f>
        <v>72.717364138419i</v>
      </c>
      <c r="AB196" s="9" t="str">
        <f>IF($B$7&gt;5,COMPLEX(0,$D196/$B$21),0)</f>
        <v>8.50507450467286E-004i</v>
      </c>
      <c r="AC196" s="9" t="str">
        <f>IF($B$7&gt;5,COMPLEX($E196,0),1)</f>
        <v>-0.968583161128631</v>
      </c>
      <c r="AD196" s="9" t="str">
        <f>IF($B$7&gt;6,COMPLEX($E196,0),1)</f>
        <v>-0.968583161128631</v>
      </c>
      <c r="AE196" s="9" t="str">
        <f>IF($B$7&gt;6,COMPLEX(0,$D196*$B$22),0)</f>
        <v>86.9563820516645i</v>
      </c>
      <c r="AF196" s="9" t="str">
        <f>IF($B$7&gt;6,COMPLEX(0,$D196/$B$22),0)</f>
        <v>7.11237732284241E-004i</v>
      </c>
      <c r="AG196" s="9" t="str">
        <f>IF($B$7&gt;6,COMPLEX($E196,0),1)</f>
        <v>-0.968583161128631</v>
      </c>
      <c r="AH196" s="9" t="str">
        <f>IF($B$7&gt;7,COMPLEX($E196,0),1)</f>
        <v>-0.968583161128631</v>
      </c>
      <c r="AI196" s="9" t="str">
        <f>IF($B$7&gt;7,COMPLEX(0,$D196*$B$23),0)</f>
        <v>103.983587264271i</v>
      </c>
      <c r="AJ196" s="9" t="str">
        <f>IF($B$7&gt;7,COMPLEX(0,$D196/$B$23),0)</f>
        <v>5.94773286873502E-004i</v>
      </c>
      <c r="AK196" s="9" t="str">
        <f>IF($B$7&gt;7,COMPLEX($E196,0),1)</f>
        <v>-0.968583161128631</v>
      </c>
      <c r="AL196" s="4" t="str">
        <f>IMSUM(IMPRODUCT(F196,J196),IMPRODUCT(G196,L196))</f>
        <v>0.886434006854435</v>
      </c>
      <c r="AM196" s="5" t="str">
        <f>IMSUM(IMPRODUCT(F196,K196),IMPRODUCT(G196,M196))</f>
        <v>-63.2490140702316i</v>
      </c>
      <c r="AN196" s="5" t="str">
        <f>IMSUM(IMPRODUCT(H196,J196),IMPRODUCT(I196,L196))</f>
        <v>-3.69882478131665E-003i</v>
      </c>
      <c r="AO196" s="5" t="str">
        <f>IMSUM(IMPRODUCT(H196,K196),IMPRODUCT(I196,M196))</f>
        <v>0.864196289221311</v>
      </c>
      <c r="AP196" s="4" t="str">
        <f>IMSUM(IMPRODUCT(AL196,N196),IMPRODUCT(AM196,P196))</f>
        <v>-0.766599020740167</v>
      </c>
      <c r="AQ196" s="5" t="str">
        <f>IMSUM(IMPRODUCT(AL196,O196),IMPRODUCT(AM196,Q196))</f>
        <v>98.9578663452775i</v>
      </c>
      <c r="AR196" s="5" t="str">
        <f>IMSUM(IMPRODUCT(AN196,N196),IMPRODUCT(AO196,P196))</f>
        <v>4.83946092415613E-003i</v>
      </c>
      <c r="AS196" s="5" t="str">
        <f>IMSUM(IMPRODUCT(AN196,O196),IMPRODUCT(AO196,Q196))</f>
        <v>-0.679752071925468</v>
      </c>
      <c r="AT196" s="4" t="str">
        <f>IMSUM(IMPRODUCT(AP196,R196),IMPRODUCT(AQ196,T196))</f>
        <v>0.622162403709913</v>
      </c>
      <c r="AU196" s="5" t="str">
        <f>IMSUM(IMPRODUCT(AP196,S196),IMPRODUCT(AQ196,U196))</f>
        <v>-134.832323592874i</v>
      </c>
      <c r="AV196" s="5" t="str">
        <f>IMSUM(IMPRODUCT(AR196,R196),IMPRODUCT(AS196,T196))</f>
        <v>-5.51413443200948E-003i</v>
      </c>
      <c r="AW196" s="5" t="str">
        <f>IMSUM(IMPRODUCT(AR196,S196),IMPRODUCT(AS196,U196))</f>
        <v>0.412298204454488</v>
      </c>
      <c r="AX196" s="4" t="str">
        <f>IMSUM(IMPRODUCT(AT196,V196),IMPRODUCT(AU196,X196))</f>
        <v>-0.465485080749907</v>
      </c>
      <c r="AY196" s="5" t="str">
        <f>IMSUM(IMPRODUCT(AT196,W196),IMPRODUCT(AU196,Y196))</f>
        <v>168.42999576603i</v>
      </c>
      <c r="AZ196" s="5" t="str">
        <f>IMSUM(IMPRODUCT(AV196,V196),IMPRODUCT(AW196,X196))</f>
        <v>5.76022482917542E-003i</v>
      </c>
      <c r="BA196" s="5" t="str">
        <f>IMSUM(IMPRODUCT(AV196,W196),IMPRODUCT(AW196,Y196))</f>
        <v>-6.4030744793317E-002</v>
      </c>
      <c r="BB196" s="4" t="str">
        <f>IMSUM(IMPRODUCT(AX196,Z196),IMPRODUCT(AY196,AB196))</f>
        <v>0.307610044689779</v>
      </c>
      <c r="BC196" s="5" t="str">
        <f>IMSUM(IMPRODUCT(AX196,AA196),IMPRODUCT(AY196,AC196))</f>
        <v>-196.987305845835i</v>
      </c>
      <c r="BD196" s="5" t="str">
        <f>IMSUM(IMPRODUCT(AZ196,Z196),IMPRODUCT(BA196,AB196))</f>
        <v>-5.63371539936005E-003i</v>
      </c>
      <c r="BE196" s="5" t="str">
        <f>IMSUM(IMPRODUCT(AZ196,AA196),IMPRODUCT(BA196,AC196))</f>
        <v>-0.356849265220979</v>
      </c>
      <c r="BF196" s="4" t="str">
        <f>IMSUM(IMPRODUCT(BB196,AD196),IMPRODUCT(BC196,AF196))</f>
        <v>-0.157841104781972</v>
      </c>
      <c r="BG196" s="5" t="str">
        <f>IMSUM(IMPRODUCT(BB196,AE196),IMPRODUCT(BC196,AG196))</f>
        <v>217.547243967345i</v>
      </c>
      <c r="BH196" s="5" t="str">
        <f>IMSUM(IMPRODUCT(BD196,AD196),IMPRODUCT(BE196,AF196))</f>
        <v>5.20291720824814E-003i</v>
      </c>
      <c r="BI196" s="5" t="str">
        <f>IMSUM(IMPRODUCT(BD196,AE196),IMPRODUCT(BE196,AG196))</f>
        <v>0.835525697991263</v>
      </c>
      <c r="BJ196" s="4" t="str">
        <f>IMSUM(IMPRODUCT(BF196,AH196),IMPRODUCT(BG196,AJ196))</f>
        <v>2.3490946881029E-002</v>
      </c>
      <c r="BK196" s="5" t="str">
        <f>IMSUM(IMPRODUCT(BF196,AI196),IMPRODUCT(BG196,AK196))</f>
        <v>-227.125481549698i</v>
      </c>
      <c r="BL196" s="5" t="str">
        <f>IMSUM(IMPRODUCT(BH196,AH196),IMPRODUCT(BI196,AJ196))</f>
        <v>-4.54250963099399E-003i</v>
      </c>
      <c r="BM196" s="5" t="str">
        <f>IMSUM(IMPRODUCT(BH196,AI196),IMPRODUCT(BI196,AK196))</f>
        <v>-1.35029411731723</v>
      </c>
      <c r="BN196" s="4">
        <f t="shared" si="12"/>
        <v>500</v>
      </c>
      <c r="BO196" s="4">
        <v>1</v>
      </c>
      <c r="BP196" s="4" t="str">
        <f>IMSUM(IMPRODUCT($BJ196,$BN196),IMPRODUCT($BK196,$BO196))</f>
        <v>11.7454734405145-227.125481549698i</v>
      </c>
      <c r="BQ196" s="4" t="str">
        <f>IMSUM(IMPRODUCT($BL196,$BN196),IMPRODUCT($BM196,$BO196))</f>
        <v>-1.35029411731723-2.27125481549699i</v>
      </c>
      <c r="BR196" s="4" t="str">
        <f>IMDIV($BP196,$BQ196)</f>
        <v>71.6138195999412+47.7468190821217i</v>
      </c>
      <c r="BS196" s="4" t="str">
        <f>IMDIV(IMSUB($BQ$100,$BR196),IMSUM($BQ$100,$BR196))</f>
        <v>8.16771315549814E-002-0.300946872612127i</v>
      </c>
      <c r="BT196" s="4">
        <f>IMABS($BS196)</f>
        <v>0.31183356771532716</v>
      </c>
      <c r="BU196" s="4">
        <f t="shared" si="13"/>
        <v>1.906273695100349</v>
      </c>
      <c r="BV196" s="4">
        <f t="shared" si="14"/>
        <v>-0.44427775817998383</v>
      </c>
    </row>
    <row r="197" spans="1:74" ht="12.75">
      <c r="A197" s="5">
        <v>94</v>
      </c>
      <c r="B197" s="5">
        <f t="shared" si="9"/>
        <v>18.6</v>
      </c>
      <c r="C197" s="4">
        <f t="shared" si="8"/>
        <v>2.921681167838508</v>
      </c>
      <c r="D197" s="4">
        <f t="shared" si="10"/>
        <v>0.2181432413965423</v>
      </c>
      <c r="E197" s="5">
        <f t="shared" si="11"/>
        <v>-0.9759167619387474</v>
      </c>
      <c r="F197" s="9" t="str">
        <f>IF($B$7&gt;0,COMPLEX($E197,0),1)</f>
        <v>-0.975916761938747</v>
      </c>
      <c r="G197" s="9" t="str">
        <f>IF($B$7&gt;0,COMPLEX(0,$D197*$B$16),0)</f>
        <v>26.0858561990207i</v>
      </c>
      <c r="H197" s="9" t="str">
        <f>IF($B$7&gt;0,COMPLEX(0,$D197/$B$16),0)</f>
        <v>1.82422510512715E-003i</v>
      </c>
      <c r="I197" s="9" t="str">
        <f>IF($B$7&gt;0,COMPLEX($E197,0),1)</f>
        <v>-0.975916761938747</v>
      </c>
      <c r="J197" s="9" t="str">
        <f>IF($B$7&gt;1,COMPLEX($E197,0),1)</f>
        <v>-0.975916761938747</v>
      </c>
      <c r="K197" s="9" t="str">
        <f>IF($B$7&gt;1,COMPLEX(0,$D197*$B$17),0)</f>
        <v>31.1938105109119i</v>
      </c>
      <c r="L197" s="9" t="str">
        <f>IF($B$7&gt;1,COMPLEX(0,$D197/$B$17),0)</f>
        <v>1.52551012484813E-003i</v>
      </c>
      <c r="M197" s="9" t="str">
        <f>IF($B$7&gt;1,COMPLEX($E197,0),1)</f>
        <v>-0.975916761938747</v>
      </c>
      <c r="N197" s="9" t="str">
        <f>IF($B$7&gt;2,COMPLEX($E197,0),1)</f>
        <v>-0.975916761938747</v>
      </c>
      <c r="O197" s="9" t="str">
        <f>IF($B$7&gt;2,COMPLEX(0,$D197*$B$18),0)</f>
        <v>37.3019695718176i</v>
      </c>
      <c r="P197" s="9" t="str">
        <f>IF($B$7&gt;2,COMPLEX(0,$D197/$B$18),0)</f>
        <v>1.27570941462948E-003i</v>
      </c>
      <c r="Q197" s="9" t="str">
        <f>IF($B$7&gt;2,COMPLEX($E197,0),1)</f>
        <v>-0.975916761938747</v>
      </c>
      <c r="R197" s="9" t="str">
        <f>IF($B$7&gt;3,COMPLEX($E197,0),1)</f>
        <v>-0.975916761938747</v>
      </c>
      <c r="S197" s="9" t="str">
        <f>IF($B$7&gt;3,COMPLEX(0,$D197*$B$19),0)</f>
        <v>44.6061866487926i</v>
      </c>
      <c r="T197" s="9" t="str">
        <f>IF($B$7&gt;3,COMPLEX(0,$D197/$B$19),0)</f>
        <v>1.066813313177E-003i</v>
      </c>
      <c r="U197" s="9" t="str">
        <f>IF($B$7&gt;3,COMPLEX($E197,0),1)</f>
        <v>-0.975916761938747</v>
      </c>
      <c r="V197" s="9" t="str">
        <f>IF($B$7&gt;4,COMPLEX($E197,0),1)</f>
        <v>-0.975916761938747</v>
      </c>
      <c r="W197" s="9" t="str">
        <f>IF($B$7&gt;4,COMPLEX(0,$D197*$B$20),0)</f>
        <v>53.3406656588501i</v>
      </c>
      <c r="X197" s="9" t="str">
        <f>IF($B$7&gt;4,COMPLEX(0,$D197/$B$20),0)</f>
        <v>8.92123732975851E-004i</v>
      </c>
      <c r="Y197" s="9" t="str">
        <f>IF($B$7&gt;4,COMPLEX($E197,0),1)</f>
        <v>-0.975916761938747</v>
      </c>
      <c r="Z197" s="9" t="str">
        <f>IF($B$7&gt;5,COMPLEX($E197,0),1)</f>
        <v>-0.975916761938747</v>
      </c>
      <c r="AA197" s="9" t="str">
        <f>IF($B$7&gt;5,COMPLEX(0,$D197*$B$21),0)</f>
        <v>63.7854707314741i</v>
      </c>
      <c r="AB197" s="9" t="str">
        <f>IF($B$7&gt;5,COMPLEX(0,$D197/$B$21),0)</f>
        <v>7.46039391436351E-004i</v>
      </c>
      <c r="AC197" s="9" t="str">
        <f>IF($B$7&gt;5,COMPLEX($E197,0),1)</f>
        <v>-0.975916761938747</v>
      </c>
      <c r="AD197" s="9" t="str">
        <f>IF($B$7&gt;6,COMPLEX($E197,0),1)</f>
        <v>-0.975916761938747</v>
      </c>
      <c r="AE197" s="9" t="str">
        <f>IF($B$7&gt;6,COMPLEX(0,$D197*$B$22),0)</f>
        <v>76.2755062424065i</v>
      </c>
      <c r="AF197" s="9" t="str">
        <f>IF($B$7&gt;6,COMPLEX(0,$D197/$B$22),0)</f>
        <v>6.23876210218238E-004i</v>
      </c>
      <c r="AG197" s="9" t="str">
        <f>IF($B$7&gt;6,COMPLEX($E197,0),1)</f>
        <v>-0.975916761938747</v>
      </c>
      <c r="AH197" s="9" t="str">
        <f>IF($B$7&gt;7,COMPLEX($E197,0),1)</f>
        <v>-0.975916761938747</v>
      </c>
      <c r="AI197" s="9" t="str">
        <f>IF($B$7&gt;7,COMPLEX(0,$D197*$B$23),0)</f>
        <v>91.2112552563573i</v>
      </c>
      <c r="AJ197" s="9" t="str">
        <f>IF($B$7&gt;7,COMPLEX(0,$D197/$B$23),0)</f>
        <v>5.21717123980413E-004i</v>
      </c>
      <c r="AK197" s="9" t="str">
        <f>IF($B$7&gt;7,COMPLEX($E197,0),1)</f>
        <v>-0.975916761938747</v>
      </c>
      <c r="AL197" s="4" t="str">
        <f>IMSUM(IMPRODUCT(F197,J197),IMPRODUCT(G197,L197))</f>
        <v>0.912619288486071</v>
      </c>
      <c r="AM197" s="5" t="str">
        <f>IMSUM(IMPRODUCT(F197,K197),IMPRODUCT(G197,M197))</f>
        <v>-55.9001868604881i</v>
      </c>
      <c r="AN197" s="5" t="str">
        <f>IMSUM(IMPRODUCT(H197,J197),IMPRODUCT(I197,L197))</f>
        <v>-3.26906275898962E-003i</v>
      </c>
      <c r="AO197" s="5" t="str">
        <f>IMSUM(IMPRODUCT(H197,K197),IMPRODUCT(I197,M197))</f>
        <v>0.895508993974424</v>
      </c>
      <c r="AP197" s="4" t="str">
        <f>IMSUM(IMPRODUCT(AL197,N197),IMPRODUCT(AM197,P197))</f>
        <v>-0.819328066244698</v>
      </c>
      <c r="AQ197" s="5" t="str">
        <f>IMSUM(IMPRODUCT(AL197,O197),IMPRODUCT(AM197,Q197))</f>
        <v>88.5964262824196i</v>
      </c>
      <c r="AR197" s="5" t="str">
        <f>IMSUM(IMPRODUCT(AN197,N197),IMPRODUCT(AO197,P197))</f>
        <v>4.33274239682625E-003i</v>
      </c>
      <c r="AS197" s="5" t="str">
        <f>IMSUM(IMPRODUCT(AN197,O197),IMPRODUCT(AO197,Q197))</f>
        <v>-0.751999758122352</v>
      </c>
      <c r="AT197" s="4" t="str">
        <f>IMSUM(IMPRODUCT(AP197,R197),IMPRODUCT(AQ197,T197))</f>
        <v>0.705080146317071</v>
      </c>
      <c r="AU197" s="5" t="str">
        <f>IMSUM(IMPRODUCT(AP197,S197),IMPRODUCT(AQ197,U197))</f>
        <v>-123.009838106389i</v>
      </c>
      <c r="AV197" s="5" t="str">
        <f>IMSUM(IMPRODUCT(AR197,R197),IMPRODUCT(AS197,T197))</f>
        <v>-5.03063928369621E-003i</v>
      </c>
      <c r="AW197" s="5" t="str">
        <f>IMSUM(IMPRODUCT(AR197,S197),IMPRODUCT(AS197,U197))</f>
        <v>0.540622052871518</v>
      </c>
      <c r="AX197" s="4" t="str">
        <f>IMSUM(IMPRODUCT(AT197,V197),IMPRODUCT(AU197,X197))</f>
        <v>-0.578359537336827</v>
      </c>
      <c r="AY197" s="5" t="str">
        <f>IMSUM(IMPRODUCT(AT197,W197),IMPRODUCT(AU197,Y197))</f>
        <v>157.656807238789i</v>
      </c>
      <c r="AZ197" s="5" t="str">
        <f>IMSUM(IMPRODUCT(AV197,V197),IMPRODUCT(AW197,X197))</f>
        <v>5.39178696416347E-003i</v>
      </c>
      <c r="BA197" s="5" t="str">
        <f>IMSUM(IMPRODUCT(AV197,W197),IMPRODUCT(AW197,Y197))</f>
        <v>-0.259264475189133</v>
      </c>
      <c r="BB197" s="4" t="str">
        <f>IMSUM(IMPRODUCT(AX197,Z197),IMPRODUCT(AY197,AB197))</f>
        <v>0.446812578385924</v>
      </c>
      <c r="BC197" s="5" t="str">
        <f>IMSUM(IMPRODUCT(AX197,AA197),IMPRODUCT(AY197,AC197))</f>
        <v>-190.750856159147i</v>
      </c>
      <c r="BD197" s="5" t="str">
        <f>IMSUM(IMPRODUCT(AZ197,Z197),IMPRODUCT(BA197,AB197))</f>
        <v>-5.45535678642113E-003i</v>
      </c>
      <c r="BE197" s="5" t="str">
        <f>IMSUM(IMPRODUCT(AZ197,AA197),IMPRODUCT(BA197,AC197))</f>
        <v>-9.0897122480666E-002</v>
      </c>
      <c r="BF197" s="4" t="str">
        <f>IMSUM(IMPRODUCT(BB197,AD197),IMPRODUCT(BC197,AF197))</f>
        <v>-0.31704696345544</v>
      </c>
      <c r="BG197" s="5" t="str">
        <f>IMSUM(IMPRODUCT(BB197,AE197),IMPRODUCT(BC197,AG197))</f>
        <v>220.237813491739i</v>
      </c>
      <c r="BH197" s="5" t="str">
        <f>IMSUM(IMPRODUCT(BD197,AD197),IMPRODUCT(BE197,AF197))</f>
        <v>5.2672655779317E-003i</v>
      </c>
      <c r="BI197" s="5" t="str">
        <f>IMSUM(IMPRODUCT(BD197,AE197),IMPRODUCT(BE197,AG197))</f>
        <v>0.504818126058101</v>
      </c>
      <c r="BJ197" s="4" t="str">
        <f>IMSUM(IMPRODUCT(BF197,AH197),IMPRODUCT(BG197,AJ197))</f>
        <v>0.1945096073113</v>
      </c>
      <c r="BK197" s="5" t="str">
        <f>IMSUM(IMPRODUCT(BF197,AI197),IMPRODUCT(BG197,AK197))</f>
        <v>-243.852025311315i</v>
      </c>
      <c r="BL197" s="5" t="str">
        <f>IMSUM(IMPRODUCT(BH197,AH197),IMPRODUCT(BI197,AJ197))</f>
        <v>-4.87704050622632E-003i</v>
      </c>
      <c r="BM197" s="5" t="str">
        <f>IMSUM(IMPRODUCT(BH197,AI197),IMPRODUCT(BI197,AK197))</f>
        <v>-0.973094376082361</v>
      </c>
      <c r="BN197" s="4">
        <f t="shared" si="12"/>
        <v>500</v>
      </c>
      <c r="BO197" s="4">
        <v>1</v>
      </c>
      <c r="BP197" s="4" t="str">
        <f>IMSUM(IMPRODUCT($BJ197,$BN197),IMPRODUCT($BK197,$BO197))</f>
        <v>97.25480365565-243.852025311315i</v>
      </c>
      <c r="BQ197" s="4" t="str">
        <f>IMSUM(IMPRODUCT($BL197,$BN197),IMPRODUCT($BM197,$BO197))</f>
        <v>-0.973094376082361-2.43852025311316i</v>
      </c>
      <c r="BR197" s="4" t="str">
        <f>IMDIV($BP197,$BQ197)</f>
        <v>72.5342662759175+68.8275974036855i</v>
      </c>
      <c r="BS197" s="4" t="str">
        <f>IMDIV(IMSUB($BQ$100,$BR197),IMSUM($BQ$100,$BR197))</f>
        <v>4.46902635188739E-005-0.39893914880118i</v>
      </c>
      <c r="BT197" s="4">
        <f>IMABS($BS197)</f>
        <v>0.39893915130434326</v>
      </c>
      <c r="BU197" s="4">
        <f t="shared" si="13"/>
        <v>2.3274501314469855</v>
      </c>
      <c r="BV197" s="4">
        <f t="shared" si="14"/>
        <v>-0.7528273505876817</v>
      </c>
    </row>
    <row r="198" spans="1:74" ht="12.75">
      <c r="A198" s="5">
        <v>95</v>
      </c>
      <c r="B198" s="5">
        <f t="shared" si="9"/>
        <v>18.8</v>
      </c>
      <c r="C198" s="4">
        <f t="shared" si="8"/>
        <v>2.9530970943744057</v>
      </c>
      <c r="D198" s="4">
        <f t="shared" si="10"/>
        <v>0.18738131458572455</v>
      </c>
      <c r="E198" s="5">
        <f t="shared" si="11"/>
        <v>-0.9822872507286887</v>
      </c>
      <c r="F198" s="9" t="str">
        <f>IF($B$7&gt;0,COMPLEX($E198,0),1)</f>
        <v>-0.982287250728689</v>
      </c>
      <c r="G198" s="9" t="str">
        <f>IF($B$7&gt;0,COMPLEX(0,$D198*$B$16),0)</f>
        <v>22.4073044636814i</v>
      </c>
      <c r="H198" s="9" t="str">
        <f>IF($B$7&gt;0,COMPLEX(0,$D198/$B$16),0)</f>
        <v>1.56697817503148E-003i</v>
      </c>
      <c r="I198" s="9" t="str">
        <f>IF($B$7&gt;0,COMPLEX($E198,0),1)</f>
        <v>-0.982287250728689</v>
      </c>
      <c r="J198" s="9" t="str">
        <f>IF($B$7&gt;1,COMPLEX($E198,0),1)</f>
        <v>-0.982287250728689</v>
      </c>
      <c r="K198" s="9" t="str">
        <f>IF($B$7&gt;1,COMPLEX(0,$D198*$B$17),0)</f>
        <v>26.7949498827119i</v>
      </c>
      <c r="L198" s="9" t="str">
        <f>IF($B$7&gt;1,COMPLEX(0,$D198/$B$17),0)</f>
        <v>1.31038711434681E-003i</v>
      </c>
      <c r="M198" s="9" t="str">
        <f>IF($B$7&gt;1,COMPLEX($E198,0),1)</f>
        <v>-0.982287250728689</v>
      </c>
      <c r="N198" s="9" t="str">
        <f>IF($B$7&gt;2,COMPLEX($E198,0),1)</f>
        <v>-0.982287250728689</v>
      </c>
      <c r="O198" s="9" t="str">
        <f>IF($B$7&gt;2,COMPLEX(0,$D198*$B$18),0)</f>
        <v>32.0417540798248i</v>
      </c>
      <c r="P198" s="9" t="str">
        <f>IF($B$7&gt;2,COMPLEX(0,$D198/$B$18),0)</f>
        <v>1.09581257531661E-003i</v>
      </c>
      <c r="Q198" s="9" t="str">
        <f>IF($B$7&gt;2,COMPLEX($E198,0),1)</f>
        <v>-0.982287250728689</v>
      </c>
      <c r="R198" s="9" t="str">
        <f>IF($B$7&gt;3,COMPLEX($E198,0),1)</f>
        <v>-0.982287250728689</v>
      </c>
      <c r="S198" s="9" t="str">
        <f>IF($B$7&gt;3,COMPLEX(0,$D198*$B$19),0)</f>
        <v>38.3159516627565i</v>
      </c>
      <c r="T198" s="9" t="str">
        <f>IF($B$7&gt;3,COMPLEX(0,$D198/$B$19),0)</f>
        <v>9.16374395836897E-004i</v>
      </c>
      <c r="U198" s="9" t="str">
        <f>IF($B$7&gt;3,COMPLEX($E198,0),1)</f>
        <v>-0.982287250728689</v>
      </c>
      <c r="V198" s="9" t="str">
        <f>IF($B$7&gt;4,COMPLEX($E198,0),1)</f>
        <v>-0.982287250728689</v>
      </c>
      <c r="W198" s="9" t="str">
        <f>IF($B$7&gt;4,COMPLEX(0,$D198*$B$20),0)</f>
        <v>45.8187197918448i</v>
      </c>
      <c r="X198" s="9" t="str">
        <f>IF($B$7&gt;4,COMPLEX(0,$D198/$B$20),0)</f>
        <v>7.66319033255131E-004i</v>
      </c>
      <c r="Y198" s="9" t="str">
        <f>IF($B$7&gt;4,COMPLEX($E198,0),1)</f>
        <v>-0.982287250728689</v>
      </c>
      <c r="Z198" s="9" t="str">
        <f>IF($B$7&gt;5,COMPLEX($E198,0),1)</f>
        <v>-0.982287250728689</v>
      </c>
      <c r="AA198" s="9" t="str">
        <f>IF($B$7&gt;5,COMPLEX(0,$D198*$B$21),0)</f>
        <v>54.7906287658304i</v>
      </c>
      <c r="AB198" s="9" t="str">
        <f>IF($B$7&gt;5,COMPLEX(0,$D198/$B$21),0)</f>
        <v>6.40835081596497E-004i</v>
      </c>
      <c r="AC198" s="9" t="str">
        <f>IF($B$7&gt;5,COMPLEX($E198,0),1)</f>
        <v>-0.982287250728689</v>
      </c>
      <c r="AD198" s="9" t="str">
        <f>IF($B$7&gt;6,COMPLEX($E198,0),1)</f>
        <v>-0.982287250728689</v>
      </c>
      <c r="AE198" s="9" t="str">
        <f>IF($B$7&gt;6,COMPLEX(0,$D198*$B$22),0)</f>
        <v>65.5193557173407i</v>
      </c>
      <c r="AF198" s="9" t="str">
        <f>IF($B$7&gt;6,COMPLEX(0,$D198/$B$22),0)</f>
        <v>5.35898997654237E-004i</v>
      </c>
      <c r="AG198" s="9" t="str">
        <f>IF($B$7&gt;6,COMPLEX($E198,0),1)</f>
        <v>-0.982287250728689</v>
      </c>
      <c r="AH198" s="9" t="str">
        <f>IF($B$7&gt;7,COMPLEX($E198,0),1)</f>
        <v>-0.982287250728689</v>
      </c>
      <c r="AI198" s="9" t="str">
        <f>IF($B$7&gt;7,COMPLEX(0,$D198*$B$23),0)</f>
        <v>78.3489087515742i</v>
      </c>
      <c r="AJ198" s="9" t="str">
        <f>IF($B$7&gt;7,COMPLEX(0,$D198/$B$23),0)</f>
        <v>4.48146089273627E-004i</v>
      </c>
      <c r="AK198" s="9" t="str">
        <f>IF($B$7&gt;7,COMPLEX($E198,0),1)</f>
        <v>-0.982287250728689</v>
      </c>
      <c r="AL198" s="4" t="str">
        <f>IMSUM(IMPRODUCT(F198,J198),IMPRODUCT(G198,L198))</f>
        <v>0.935525999907672</v>
      </c>
      <c r="AM198" s="5" t="str">
        <f>IMSUM(IMPRODUCT(F198,K198),IMPRODUCT(G198,M198))</f>
        <v>-48.3307471515724i</v>
      </c>
      <c r="AN198" s="5" t="str">
        <f>IMSUM(IMPRODUCT(H198,J198),IMPRODUCT(I198,L198))</f>
        <v>-2.82639923944556E-003i</v>
      </c>
      <c r="AO198" s="5" t="str">
        <f>IMSUM(IMPRODUCT(H198,K198),IMPRODUCT(I198,M198))</f>
        <v>0.922901141276854</v>
      </c>
      <c r="AP198" s="4" t="str">
        <f>IMSUM(IMPRODUCT(AL198,N198),IMPRODUCT(AM198,P198))</f>
        <v>-0.865993821931375</v>
      </c>
      <c r="AQ198" s="5" t="str">
        <f>IMSUM(IMPRODUCT(AL198,O198),IMPRODUCT(AM198,Q198))</f>
        <v>77.4505707695053i</v>
      </c>
      <c r="AR198" s="5" t="str">
        <f>IMSUM(IMPRODUCT(AN198,N198),IMPRODUCT(AO198,P198))</f>
        <v>3.78766261476187E-003i</v>
      </c>
      <c r="AS198" s="5" t="str">
        <f>IMSUM(IMPRODUCT(AN198,O198),IMPRODUCT(AO198,Q198))</f>
        <v>-0.815991235397492</v>
      </c>
      <c r="AT198" s="4" t="str">
        <f>IMSUM(IMPRODUCT(AP198,R198),IMPRODUCT(AQ198,T198))</f>
        <v>0.779680970496872</v>
      </c>
      <c r="AU198" s="5" t="str">
        <f>IMSUM(IMPRODUCT(AP198,S198),IMPRODUCT(AQ198,U198))</f>
        <v>-109.260085649913i</v>
      </c>
      <c r="AV198" s="5" t="str">
        <f>IMSUM(IMPRODUCT(AR198,R198),IMPRODUCT(AS198,T198))</f>
        <v>-4.46832617188785E-003i</v>
      </c>
      <c r="AW198" s="5" t="str">
        <f>IMSUM(IMPRODUCT(AR198,S198),IMPRODUCT(AS198,U198))</f>
        <v>0.656409889575263</v>
      </c>
      <c r="AX198" s="4" t="str">
        <f>IMSUM(IMPRODUCT(AT198,V198),IMPRODUCT(AU198,X198))</f>
        <v>-0.682142593746235</v>
      </c>
      <c r="AY198" s="5" t="str">
        <f>IMSUM(IMPRODUCT(AT198,W198),IMPRODUCT(AU198,Y198))</f>
        <v>143.048773061664i</v>
      </c>
      <c r="AZ198" s="5" t="str">
        <f>IMSUM(IMPRODUCT(AV198,V198),IMPRODUCT(AW198,X198))</f>
        <v>4.89219922274118E-003i</v>
      </c>
      <c r="BA198" s="5" t="str">
        <f>IMSUM(IMPRODUCT(AV198,W198),IMPRODUCT(AW198,Y198))</f>
        <v>-0.440050080973712</v>
      </c>
      <c r="BB198" s="4" t="str">
        <f>IMSUM(IMPRODUCT(AX198,Z198),IMPRODUCT(AY198,AB198))</f>
        <v>0.578389300858676</v>
      </c>
      <c r="BC198" s="5" t="str">
        <f>IMSUM(IMPRODUCT(AX198,AA198),IMPRODUCT(AY198,AC198))</f>
        <v>-177.890007630165i</v>
      </c>
      <c r="BD198" s="5" t="str">
        <f>IMSUM(IMPRODUCT(AZ198,Z198),IMPRODUCT(BA198,AB198))</f>
        <v>-5.08754445407079E-003i</v>
      </c>
      <c r="BE198" s="5" t="str">
        <f>IMSUM(IMPRODUCT(AZ198,AA198),IMPRODUCT(BA198,AC198))</f>
        <v>0.164208912760909</v>
      </c>
      <c r="BF198" s="4" t="str">
        <f>IMSUM(IMPRODUCT(BB198,AD198),IMPRODUCT(BC198,AF198))</f>
        <v>-0.472813359409647</v>
      </c>
      <c r="BG198" s="5" t="str">
        <f>IMSUM(IMPRODUCT(BB198,AE198),IMPRODUCT(BC198,AG198))</f>
        <v>212.634780873204i</v>
      </c>
      <c r="BH198" s="5" t="str">
        <f>IMSUM(IMPRODUCT(BD198,AD198),IMPRODUCT(BE198,AF198))</f>
        <v>5.08542944650365E-003i</v>
      </c>
      <c r="BI198" s="5" t="str">
        <f>IMSUM(IMPRODUCT(BD198,AE198),IMPRODUCT(BE198,AG198))</f>
        <v>0.172032313352988</v>
      </c>
      <c r="BJ198" s="4" t="str">
        <f>IMSUM(IMPRODUCT(BF198,AH198),IMPRODUCT(BG198,AJ198))</f>
        <v>0.369147089430417</v>
      </c>
      <c r="BK198" s="5" t="str">
        <f>IMSUM(IMPRODUCT(BF198,AI198),IMPRODUCT(BG198,AK198))</f>
        <v>-245.912845066149i</v>
      </c>
      <c r="BL198" s="5" t="str">
        <f>IMSUM(IMPRODUCT(BH198,AH198),IMPRODUCT(BI198,AJ198))</f>
        <v>-4.91825690132295E-003i</v>
      </c>
      <c r="BM198" s="5" t="str">
        <f>IMSUM(IMPRODUCT(BH198,AI198),IMPRODUCT(BI198,AK198))</f>
        <v>-0.567422995786686</v>
      </c>
      <c r="BN198" s="4">
        <f t="shared" si="12"/>
        <v>500</v>
      </c>
      <c r="BO198" s="4">
        <v>1</v>
      </c>
      <c r="BP198" s="4" t="str">
        <f>IMSUM(IMPRODUCT($BJ198,$BN198),IMPRODUCT($BK198,$BO198))</f>
        <v>184.573544715209-245.912845066149i</v>
      </c>
      <c r="BQ198" s="4" t="str">
        <f>IMSUM(IMPRODUCT($BL198,$BN198),IMPRODUCT($BM198,$BO198))</f>
        <v>-0.567422995786686-2.45912845066148i</v>
      </c>
      <c r="BR198" s="4" t="str">
        <f>IMDIV($BP198,$BQ198)</f>
        <v>78.501789047841+93.1701086902228i</v>
      </c>
      <c r="BS198" s="4" t="str">
        <f>IMDIV(IMSUB($BQ$100,$BR198),IMSUM($BQ$100,$BR198))</f>
        <v>-0.119456710123492-0.459604995904286i</v>
      </c>
      <c r="BT198" s="4">
        <f>IMABS($BS198)</f>
        <v>0.4748754129808226</v>
      </c>
      <c r="BU198" s="4">
        <f t="shared" si="13"/>
        <v>2.808619991215457</v>
      </c>
      <c r="BV198" s="4">
        <f t="shared" si="14"/>
        <v>-1.1098231125733073</v>
      </c>
    </row>
    <row r="199" spans="1:74" ht="12.75">
      <c r="A199" s="5">
        <v>96</v>
      </c>
      <c r="B199" s="5">
        <f t="shared" si="9"/>
        <v>19</v>
      </c>
      <c r="C199" s="4">
        <f t="shared" si="8"/>
        <v>2.9845130209103035</v>
      </c>
      <c r="D199" s="4">
        <f t="shared" si="10"/>
        <v>0.15643446504023098</v>
      </c>
      <c r="E199" s="5">
        <f t="shared" si="11"/>
        <v>-0.9876883405951377</v>
      </c>
      <c r="F199" s="9" t="str">
        <f>IF($B$7&gt;0,COMPLEX($E199,0),1)</f>
        <v>-0.987688340595138</v>
      </c>
      <c r="G199" s="9" t="str">
        <f>IF($B$7&gt;0,COMPLEX(0,$D199*$B$16),0)</f>
        <v>18.7066394241031i</v>
      </c>
      <c r="H199" s="9" t="str">
        <f>IF($B$7&gt;0,COMPLEX(0,$D199/$B$16),0)</f>
        <v>1.30818482666063E-003i</v>
      </c>
      <c r="I199" s="9" t="str">
        <f>IF($B$7&gt;0,COMPLEX($E199,0),1)</f>
        <v>-0.987688340595138</v>
      </c>
      <c r="J199" s="9" t="str">
        <f>IF($B$7&gt;1,COMPLEX($E199,0),1)</f>
        <v>-0.987688340595138</v>
      </c>
      <c r="K199" s="9" t="str">
        <f>IF($B$7&gt;1,COMPLEX(0,$D199*$B$17),0)</f>
        <v>22.3696458739711i</v>
      </c>
      <c r="L199" s="9" t="str">
        <f>IF($B$7&gt;1,COMPLEX(0,$D199/$B$17),0)</f>
        <v>1.09397090996859E-003i</v>
      </c>
      <c r="M199" s="9" t="str">
        <f>IF($B$7&gt;1,COMPLEX($E199,0),1)</f>
        <v>-0.987688340595138</v>
      </c>
      <c r="N199" s="9" t="str">
        <f>IF($B$7&gt;2,COMPLEX($E199,0),1)</f>
        <v>-0.987688340595138</v>
      </c>
      <c r="O199" s="9" t="str">
        <f>IF($B$7&gt;2,COMPLEX(0,$D199*$B$18),0)</f>
        <v>26.7499172450032i</v>
      </c>
      <c r="P199" s="9" t="str">
        <f>IF($B$7&gt;2,COMPLEX(0,$D199/$B$18),0)</f>
        <v>9.14834301290952E-004i</v>
      </c>
      <c r="Q199" s="9" t="str">
        <f>IF($B$7&gt;2,COMPLEX($E199,0),1)</f>
        <v>-0.987688340595138</v>
      </c>
      <c r="R199" s="9" t="str">
        <f>IF($B$7&gt;3,COMPLEX($E199,0),1)</f>
        <v>-0.987688340595138</v>
      </c>
      <c r="S199" s="9" t="str">
        <f>IF($B$7&gt;3,COMPLEX(0,$D199*$B$19),0)</f>
        <v>31.9879034583703i</v>
      </c>
      <c r="T199" s="9" t="str">
        <f>IF($B$7&gt;3,COMPLEX(0,$D199/$B$19),0)</f>
        <v>7.65031127603323E-004i</v>
      </c>
      <c r="U199" s="9" t="str">
        <f>IF($B$7&gt;3,COMPLEX($E199,0),1)</f>
        <v>-0.987688340595138</v>
      </c>
      <c r="V199" s="9" t="str">
        <f>IF($B$7&gt;4,COMPLEX($E199,0),1)</f>
        <v>-0.987688340595138</v>
      </c>
      <c r="W199" s="9" t="str">
        <f>IF($B$7&gt;4,COMPLEX(0,$D199*$B$20),0)</f>
        <v>38.2515563801662i</v>
      </c>
      <c r="X199" s="9" t="str">
        <f>IF($B$7&gt;4,COMPLEX(0,$D199/$B$20),0)</f>
        <v>6.39758069167406E-004i</v>
      </c>
      <c r="Y199" s="9" t="str">
        <f>IF($B$7&gt;4,COMPLEX($E199,0),1)</f>
        <v>-0.987688340595138</v>
      </c>
      <c r="Z199" s="9" t="str">
        <f>IF($B$7&gt;5,COMPLEX($E199,0),1)</f>
        <v>-0.987688340595138</v>
      </c>
      <c r="AA199" s="9" t="str">
        <f>IF($B$7&gt;5,COMPLEX(0,$D199*$B$21),0)</f>
        <v>45.7417150645476i</v>
      </c>
      <c r="AB199" s="9" t="str">
        <f>IF($B$7&gt;5,COMPLEX(0,$D199/$B$21),0)</f>
        <v>5.34998344900063E-004i</v>
      </c>
      <c r="AC199" s="9" t="str">
        <f>IF($B$7&gt;5,COMPLEX($E199,0),1)</f>
        <v>-0.987688340595138</v>
      </c>
      <c r="AD199" s="9" t="str">
        <f>IF($B$7&gt;6,COMPLEX($E199,0),1)</f>
        <v>-0.987688340595138</v>
      </c>
      <c r="AE199" s="9" t="str">
        <f>IF($B$7&gt;6,COMPLEX(0,$D199*$B$22),0)</f>
        <v>54.6985454984295i</v>
      </c>
      <c r="AF199" s="9" t="str">
        <f>IF($B$7&gt;6,COMPLEX(0,$D199/$B$22),0)</f>
        <v>4.47392917479421E-004i</v>
      </c>
      <c r="AG199" s="9" t="str">
        <f>IF($B$7&gt;6,COMPLEX($E199,0),1)</f>
        <v>-0.987688340595138</v>
      </c>
      <c r="AH199" s="9" t="str">
        <f>IF($B$7&gt;7,COMPLEX($E199,0),1)</f>
        <v>-0.987688340595138</v>
      </c>
      <c r="AI199" s="9" t="str">
        <f>IF($B$7&gt;7,COMPLEX(0,$D199*$B$23),0)</f>
        <v>65.4092413330317i</v>
      </c>
      <c r="AJ199" s="9" t="str">
        <f>IF($B$7&gt;7,COMPLEX(0,$D199/$B$23),0)</f>
        <v>3.74132788482061E-004i</v>
      </c>
      <c r="AK199" s="9" t="str">
        <f>IF($B$7&gt;7,COMPLEX($E199,0),1)</f>
        <v>-0.987688340595138</v>
      </c>
      <c r="AL199" s="4" t="str">
        <f>IMSUM(IMPRODUCT(F199,J199),IMPRODUCT(G199,L199))</f>
        <v>0.955063738794337</v>
      </c>
      <c r="AM199" s="5" t="str">
        <f>IMSUM(IMPRODUCT(F199,K199),IMPRODUCT(G199,M199))</f>
        <v>-40.5705680638674i</v>
      </c>
      <c r="AN199" s="5" t="str">
        <f>IMSUM(IMPRODUCT(H199,J199),IMPRODUCT(I199,L199))</f>
        <v>-2.37258121336241E-003i</v>
      </c>
      <c r="AO199" s="5" t="str">
        <f>IMSUM(IMPRODUCT(H199,K199),IMPRODUCT(I199,M199))</f>
        <v>0.946264626837476</v>
      </c>
      <c r="AP199" s="4" t="str">
        <f>IMSUM(IMPRODUCT(AL199,N199),IMPRODUCT(AM199,P199))</f>
        <v>-0.906189972044682</v>
      </c>
      <c r="AQ199" s="5" t="str">
        <f>IMSUM(IMPRODUCT(AL199,O199),IMPRODUCT(AM199,Q199))</f>
        <v>65.6189530244552i</v>
      </c>
      <c r="AR199" s="5" t="str">
        <f>IMSUM(IMPRODUCT(AN199,N199),IMPRODUCT(AO199,P199))</f>
        <v>3.20904614028233E-003i</v>
      </c>
      <c r="AS199" s="5" t="str">
        <f>IMSUM(IMPRODUCT(AN199,O199),IMPRODUCT(AO199,Q199))</f>
        <v>-0.87114818793049</v>
      </c>
      <c r="AT199" s="4" t="str">
        <f>IMSUM(IMPRODUCT(AP199,R199),IMPRODUCT(AQ199,T199))</f>
        <v>0.844832728128318</v>
      </c>
      <c r="AU199" s="5" t="str">
        <f>IMSUM(IMPRODUCT(AP199,S199),IMPRODUCT(AQ199,U199))</f>
        <v>-93.7981921650231i</v>
      </c>
      <c r="AV199" s="5" t="str">
        <f>IMSUM(IMPRODUCT(AR199,R199),IMPRODUCT(AS199,T199))</f>
        <v>-3.83599293771074E-003i</v>
      </c>
      <c r="AW199" s="5" t="str">
        <f>IMSUM(IMPRODUCT(AR199,S199),IMPRODUCT(AS199,U199))</f>
        <v>0.75777225002072</v>
      </c>
      <c r="AX199" s="4" t="str">
        <f>IMSUM(IMPRODUCT(AT199,V199),IMPRODUCT(AU199,X199))</f>
        <v>-0.774423285014634</v>
      </c>
      <c r="AY199" s="5" t="str">
        <f>IMSUM(IMPRODUCT(AT199,W199),IMPRODUCT(AU199,Y199))</f>
        <v>124.959547502105i</v>
      </c>
      <c r="AZ199" s="5" t="str">
        <f>IMSUM(IMPRODUCT(AV199,V199),IMPRODUCT(AW199,X199))</f>
        <v>4.27355641072409E-003i</v>
      </c>
      <c r="BA199" s="5" t="str">
        <f>IMSUM(IMPRODUCT(AV199,W199),IMPRODUCT(AW199,Y199))</f>
        <v>-0.601710116041247</v>
      </c>
      <c r="BB199" s="4" t="str">
        <f>IMSUM(IMPRODUCT(AX199,Z199),IMPRODUCT(AY199,AB199))</f>
        <v>0.698035698201252</v>
      </c>
      <c r="BC199" s="5" t="str">
        <f>IMSUM(IMPRODUCT(AX199,AA199),IMPRODUCT(AY199,AC199))</f>
        <v>-158.844537356363i</v>
      </c>
      <c r="BD199" s="5" t="str">
        <f>IMSUM(IMPRODUCT(AZ199,Z199),IMPRODUCT(BA199,AB199))</f>
        <v>-4.54285575593948E-003i</v>
      </c>
      <c r="BE199" s="5" t="str">
        <f>IMSUM(IMPRODUCT(AZ199,AA199),IMPRODUCT(BA199,AC199))</f>
        <v>0.398822266380475</v>
      </c>
      <c r="BF199" s="4" t="str">
        <f>IMSUM(IMPRODUCT(BB199,AD199),IMPRODUCT(BC199,AF199))</f>
        <v>-0.618375799439031</v>
      </c>
      <c r="BG199" s="5" t="str">
        <f>IMSUM(IMPRODUCT(BB199,AE199),IMPRODUCT(BC199,AG199))</f>
        <v>195.070434911698i</v>
      </c>
      <c r="BH199" s="5" t="str">
        <f>IMSUM(IMPRODUCT(BD199,AD199),IMPRODUCT(BE199,AF199))</f>
        <v>4.66535592045866E-003i</v>
      </c>
      <c r="BI199" s="5" t="str">
        <f>IMSUM(IMPRODUCT(BD199,AE199),IMPRODUCT(BE199,AG199))</f>
        <v>-0.145424500214665</v>
      </c>
      <c r="BJ199" s="4" t="str">
        <f>IMSUM(IMPRODUCT(BF199,AH199),IMPRODUCT(BG199,AJ199))</f>
        <v>0.537780321448206</v>
      </c>
      <c r="BK199" s="5" t="str">
        <f>IMSUM(IMPRODUCT(BF199,AI199),IMPRODUCT(BG199,AK199))</f>
        <v>-233.116286057121i</v>
      </c>
      <c r="BL199" s="5" t="str">
        <f>IMSUM(IMPRODUCT(BH199,AH199),IMPRODUCT(BI199,AJ199))</f>
        <v>-4.66232572114244E-003i</v>
      </c>
      <c r="BM199" s="5" t="str">
        <f>IMSUM(IMPRODUCT(BH199,AI199),IMPRODUCT(BI199,AK199))</f>
        <v>-0.161523308006869</v>
      </c>
      <c r="BN199" s="4">
        <f t="shared" si="12"/>
        <v>500</v>
      </c>
      <c r="BO199" s="4">
        <v>1</v>
      </c>
      <c r="BP199" s="4" t="str">
        <f>IMSUM(IMPRODUCT($BJ199,$BN199),IMPRODUCT($BK199,$BO199))</f>
        <v>268.890160724103-233.116286057121i</v>
      </c>
      <c r="BQ199" s="4" t="str">
        <f>IMSUM(IMPRODUCT($BL199,$BN199),IMPRODUCT($BM199,$BO199))</f>
        <v>-0.161523308006869-2.33116286057122i</v>
      </c>
      <c r="BR199" s="4" t="str">
        <f>IMDIV($BP199,$BQ199)</f>
        <v>91.5682145416283+121.690580458045i</v>
      </c>
      <c r="BS199" s="4" t="str">
        <f>IMDIV(IMSUB($BQ$100,$BR199),IMSUM($BQ$100,$BR199))</f>
        <v>-0.256146560115388-0.472520752421597i</v>
      </c>
      <c r="BT199" s="4">
        <f>IMABS($BS199)</f>
        <v>0.5374820199113811</v>
      </c>
      <c r="BU199" s="4">
        <f t="shared" si="13"/>
        <v>3.324156219001039</v>
      </c>
      <c r="BV199" s="4">
        <f t="shared" si="14"/>
        <v>-1.4806133405959945</v>
      </c>
    </row>
    <row r="200" spans="1:74" ht="12.75">
      <c r="A200" s="5">
        <v>97</v>
      </c>
      <c r="B200" s="5">
        <f t="shared" si="9"/>
        <v>19.200000000000003</v>
      </c>
      <c r="C200" s="4">
        <f t="shared" si="8"/>
        <v>3.015928947446202</v>
      </c>
      <c r="D200" s="4">
        <f t="shared" si="10"/>
        <v>0.12533323356430365</v>
      </c>
      <c r="E200" s="5">
        <f t="shared" si="11"/>
        <v>-0.992114701314478</v>
      </c>
      <c r="F200" s="9" t="str">
        <f>IF($B$7&gt;0,COMPLEX($E200,0),1)</f>
        <v>-0.992114701314478</v>
      </c>
      <c r="G200" s="9" t="str">
        <f>IF($B$7&gt;0,COMPLEX(0,$D200*$B$16),0)</f>
        <v>14.987513189893i</v>
      </c>
      <c r="H200" s="9" t="str">
        <f>IF($B$7&gt;0,COMPLEX(0,$D200/$B$16),0)</f>
        <v>1.04810045780493E-003i</v>
      </c>
      <c r="I200" s="9" t="str">
        <f>IF($B$7&gt;0,COMPLEX($E200,0),1)</f>
        <v>-0.992114701314478</v>
      </c>
      <c r="J200" s="9" t="str">
        <f>IF($B$7&gt;1,COMPLEX($E200,0),1)</f>
        <v>-0.992114701314478</v>
      </c>
      <c r="K200" s="9" t="str">
        <f>IF($B$7&gt;1,COMPLEX(0,$D200*$B$17),0)</f>
        <v>17.9222657254726i</v>
      </c>
      <c r="L200" s="9" t="str">
        <f>IF($B$7&gt;1,COMPLEX(0,$D200/$B$17),0)</f>
        <v>8.7647508837893E-004i</v>
      </c>
      <c r="M200" s="9" t="str">
        <f>IF($B$7&gt;1,COMPLEX($E200,0),1)</f>
        <v>-0.992114701314478</v>
      </c>
      <c r="N200" s="9" t="str">
        <f>IF($B$7&gt;2,COMPLEX($E200,0),1)</f>
        <v>-0.992114701314478</v>
      </c>
      <c r="O200" s="9" t="str">
        <f>IF($B$7&gt;2,COMPLEX(0,$D200*$B$18),0)</f>
        <v>21.4316814714172i</v>
      </c>
      <c r="P200" s="9" t="str">
        <f>IF($B$7&gt;2,COMPLEX(0,$D200/$B$18),0)</f>
        <v>7.329531962592E-004i</v>
      </c>
      <c r="Q200" s="9" t="str">
        <f>IF($B$7&gt;2,COMPLEX($E200,0),1)</f>
        <v>-0.992114701314478</v>
      </c>
      <c r="R200" s="9" t="str">
        <f>IF($B$7&gt;3,COMPLEX($E200,0),1)</f>
        <v>-0.992114701314478</v>
      </c>
      <c r="S200" s="9" t="str">
        <f>IF($B$7&gt;3,COMPLEX(0,$D200*$B$19),0)</f>
        <v>25.6282870552168i</v>
      </c>
      <c r="T200" s="9" t="str">
        <f>IF($B$7&gt;3,COMPLEX(0,$D200/$B$19),0)</f>
        <v>6.12932866010127E-004i</v>
      </c>
      <c r="U200" s="9" t="str">
        <f>IF($B$7&gt;3,COMPLEX($E200,0),1)</f>
        <v>-0.992114701314478</v>
      </c>
      <c r="V200" s="9" t="str">
        <f>IF($B$7&gt;4,COMPLEX($E200,0),1)</f>
        <v>-0.992114701314478</v>
      </c>
      <c r="W200" s="9" t="str">
        <f>IF($B$7&gt;4,COMPLEX(0,$D200*$B$20),0)</f>
        <v>30.6466433005064i</v>
      </c>
      <c r="X200" s="9" t="str">
        <f>IF($B$7&gt;4,COMPLEX(0,$D200/$B$20),0)</f>
        <v>5.12565741104336E-004i</v>
      </c>
      <c r="Y200" s="9" t="str">
        <f>IF($B$7&gt;4,COMPLEX($E200,0),1)</f>
        <v>-0.992114701314478</v>
      </c>
      <c r="Z200" s="9" t="str">
        <f>IF($B$7&gt;5,COMPLEX($E200,0),1)</f>
        <v>-0.992114701314478</v>
      </c>
      <c r="AA200" s="9" t="str">
        <f>IF($B$7&gt;5,COMPLEX(0,$D200*$B$21),0)</f>
        <v>36.64765981296i</v>
      </c>
      <c r="AB200" s="9" t="str">
        <f>IF($B$7&gt;5,COMPLEX(0,$D200/$B$21),0)</f>
        <v>4.28633629428343E-004i</v>
      </c>
      <c r="AC200" s="9" t="str">
        <f>IF($B$7&gt;5,COMPLEX($E200,0),1)</f>
        <v>-0.992114701314478</v>
      </c>
      <c r="AD200" s="9" t="str">
        <f>IF($B$7&gt;6,COMPLEX($E200,0),1)</f>
        <v>-0.992114701314478</v>
      </c>
      <c r="AE200" s="9" t="str">
        <f>IF($B$7&gt;6,COMPLEX(0,$D200*$B$22),0)</f>
        <v>43.8237544189465i</v>
      </c>
      <c r="AF200" s="9" t="str">
        <f>IF($B$7&gt;6,COMPLEX(0,$D200/$B$22),0)</f>
        <v>3.58445314509453E-004i</v>
      </c>
      <c r="AG200" s="9" t="str">
        <f>IF($B$7&gt;6,COMPLEX($E200,0),1)</f>
        <v>-0.992114701314478</v>
      </c>
      <c r="AH200" s="9" t="str">
        <f>IF($B$7&gt;7,COMPLEX($E200,0),1)</f>
        <v>-0.992114701314478</v>
      </c>
      <c r="AI200" s="9" t="str">
        <f>IF($B$7&gt;7,COMPLEX(0,$D200*$B$23),0)</f>
        <v>52.4050228902464i</v>
      </c>
      <c r="AJ200" s="9" t="str">
        <f>IF($B$7&gt;7,COMPLEX(0,$D200/$B$23),0)</f>
        <v>2.99750263797861E-004i</v>
      </c>
      <c r="AK200" s="9" t="str">
        <f>IF($B$7&gt;7,COMPLEX($E200,0),1)</f>
        <v>-0.992114701314478</v>
      </c>
      <c r="AL200" s="4" t="str">
        <f>IMSUM(IMPRODUCT(F200,J200),IMPRODUCT(G200,L200))</f>
        <v>0.971155398616624</v>
      </c>
      <c r="AM200" s="5" t="str">
        <f>IMSUM(IMPRODUCT(F200,K200),IMPRODUCT(G200,M200))</f>
        <v>-32.6502754789435i</v>
      </c>
      <c r="AN200" s="5" t="str">
        <f>IMSUM(IMPRODUCT(H200,J200),IMPRODUCT(I200,L200))</f>
        <v>-1.90939969315935E-003i</v>
      </c>
      <c r="AO200" s="5" t="str">
        <f>IMSUM(IMPRODUCT(H200,K200),IMPRODUCT(I200,M200))</f>
        <v>0.965507245652547</v>
      </c>
      <c r="AP200" s="4" t="str">
        <f>IMSUM(IMPRODUCT(AL200,N200),IMPRODUCT(AM200,P200))</f>
        <v>-0.93956642445744</v>
      </c>
      <c r="AQ200" s="5" t="str">
        <f>IMSUM(IMPRODUCT(AL200,O200),IMPRODUCT(AM200,Q200))</f>
        <v>53.2063114670262i</v>
      </c>
      <c r="AR200" s="5" t="str">
        <f>IMSUM(IMPRODUCT(AN200,N200),IMPRODUCT(AO200,P200))</f>
        <v>2.60201512798119E-003i</v>
      </c>
      <c r="AS200" s="5" t="str">
        <f>IMSUM(IMPRODUCT(AN200,O200),IMPRODUCT(AO200,Q200))</f>
        <v>-0.916972286612128</v>
      </c>
      <c r="AT200" s="4" t="str">
        <f>IMSUM(IMPRODUCT(AP200,R200),IMPRODUCT(AQ200,T200))</f>
        <v>0.899545765588393</v>
      </c>
      <c r="AU200" s="5" t="str">
        <f>IMSUM(IMPRODUCT(AP200,S200),IMPRODUCT(AQ200,U200))</f>
        <v>-76.8662418425927i</v>
      </c>
      <c r="AV200" s="5" t="str">
        <f>IMSUM(IMPRODUCT(AR200,R200),IMPRODUCT(AS200,T200))</f>
        <v>-3.14353991319784E-003i</v>
      </c>
      <c r="AW200" s="5" t="str">
        <f>IMSUM(IMPRODUCT(AR200,S200),IMPRODUCT(AS200,U200))</f>
        <v>0.843056495623926</v>
      </c>
      <c r="AX200" s="4" t="str">
        <f>IMSUM(IMPRODUCT(AT200,V200),IMPRODUCT(AU200,X200))</f>
        <v>-0.853053576329478</v>
      </c>
      <c r="AY200" s="5" t="str">
        <f>IMSUM(IMPRODUCT(AT200,W200),IMPRODUCT(AU200,Y200))</f>
        <v>103.828186777299i</v>
      </c>
      <c r="AZ200" s="5" t="str">
        <f>IMSUM(IMPRODUCT(AV200,V200),IMPRODUCT(AW200,X200))</f>
        <v>3.55087403952472E-003i</v>
      </c>
      <c r="BA200" s="5" t="str">
        <f>IMSUM(IMPRODUCT(AV200,W200),IMPRODUCT(AW200,Y200))</f>
        <v>-0.740069796926483</v>
      </c>
      <c r="BB200" s="4" t="str">
        <f>IMSUM(IMPRODUCT(AX200,Z200),IMPRODUCT(AY200,AB200))</f>
        <v>0.801822741550049</v>
      </c>
      <c r="BC200" s="5" t="str">
        <f>IMSUM(IMPRODUCT(AX200,AA200),IMPRODUCT(AY200,AC200))</f>
        <v>-134.271887780136i</v>
      </c>
      <c r="BD200" s="5" t="str">
        <f>IMSUM(IMPRODUCT(AZ200,Z200),IMPRODUCT(BA200,AB200))</f>
        <v>-3.84009314021529E-003i</v>
      </c>
      <c r="BE200" s="5" t="str">
        <f>IMSUM(IMPRODUCT(AZ200,AA200),IMPRODUCT(BA200,AC200))</f>
        <v>0.604102901690411</v>
      </c>
      <c r="BF200" s="4" t="str">
        <f>IMSUM(IMPRODUCT(BB200,AD200),IMPRODUCT(BC200,AF200))</f>
        <v>-0.747371000694954</v>
      </c>
      <c r="BG200" s="5" t="str">
        <f>IMSUM(IMPRODUCT(BB200,AE200),IMPRODUCT(BC200,AG200))</f>
        <v>168.351996753137i</v>
      </c>
      <c r="BH200" s="5" t="str">
        <f>IMSUM(IMPRODUCT(BD200,AD200),IMPRODUCT(BE200,AF200))</f>
        <v>4.02635071341696E-003i</v>
      </c>
      <c r="BI200" s="5" t="str">
        <f>IMSUM(IMPRODUCT(BD200,AE200),IMPRODUCT(BE200,AG200))</f>
        <v>-0.431052071151116</v>
      </c>
      <c r="BJ200" s="4" t="str">
        <f>IMSUM(IMPRODUCT(BF200,AH200),IMPRODUCT(BG200,AJ200))</f>
        <v>0.691014201687927</v>
      </c>
      <c r="BK200" s="5" t="str">
        <f>IMSUM(IMPRODUCT(BF200,AI200),IMPRODUCT(BG200,AK200))</f>
        <v>-206.190485373359i</v>
      </c>
      <c r="BL200" s="5" t="str">
        <f>IMSUM(IMPRODUCT(BH200,AH200),IMPRODUCT(BI200,AJ200))</f>
        <v>-4.12380970746716E-003i</v>
      </c>
      <c r="BM200" s="5" t="str">
        <f>IMSUM(IMPRODUCT(BH200,AI200),IMPRODUCT(BI200,AK200))</f>
        <v>0.216652095520301</v>
      </c>
      <c r="BN200" s="4">
        <f t="shared" si="12"/>
        <v>500</v>
      </c>
      <c r="BO200" s="4">
        <v>1</v>
      </c>
      <c r="BP200" s="4" t="str">
        <f>IMSUM(IMPRODUCT($BJ200,$BN200),IMPRODUCT($BK200,$BO200))</f>
        <v>345.507100843964-206.190485373359i</v>
      </c>
      <c r="BQ200" s="4" t="str">
        <f>IMSUM(IMPRODUCT($BL200,$BN200),IMPRODUCT($BM200,$BO200))</f>
        <v>0.216652095520301-2.06190485373358i</v>
      </c>
      <c r="BR200" s="4" t="str">
        <f>IMDIV($BP200,$BQ200)</f>
        <v>116.322629715492+155.344490692516i</v>
      </c>
      <c r="BS200" s="4" t="str">
        <f>IMDIV(IMSUB($BQ$100,$BR200),IMSUM($BQ$100,$BR200))</f>
        <v>-0.390016672196278-0.438038080034532i</v>
      </c>
      <c r="BT200" s="4">
        <f>IMABS($BS200)</f>
        <v>0.5865069173943287</v>
      </c>
      <c r="BU200" s="4">
        <f t="shared" si="13"/>
        <v>3.8368402861706516</v>
      </c>
      <c r="BV200" s="4">
        <f t="shared" si="14"/>
        <v>-1.830897814091845</v>
      </c>
    </row>
    <row r="201" spans="1:74" ht="12.75">
      <c r="A201" s="5">
        <v>98</v>
      </c>
      <c r="B201" s="5">
        <f t="shared" si="9"/>
        <v>19.400000000000002</v>
      </c>
      <c r="C201" s="4">
        <f t="shared" si="8"/>
        <v>3.0473448739820994</v>
      </c>
      <c r="D201" s="4">
        <f t="shared" si="10"/>
        <v>0.09410831331851435</v>
      </c>
      <c r="E201" s="5">
        <f t="shared" si="11"/>
        <v>-0.99556196460308</v>
      </c>
      <c r="F201" s="9" t="str">
        <f>IF($B$7&gt;0,COMPLEX($E201,0),1)</f>
        <v>-0.99556196460308</v>
      </c>
      <c r="G201" s="9" t="str">
        <f>IF($B$7&gt;0,COMPLEX(0,$D201*$B$16),0)</f>
        <v>11.2535960896291i</v>
      </c>
      <c r="H201" s="9" t="str">
        <f>IF($B$7&gt;0,COMPLEX(0,$D201/$B$16),0)</f>
        <v>7.86981740336084E-004i</v>
      </c>
      <c r="I201" s="9" t="str">
        <f>IF($B$7&gt;0,COMPLEX($E201,0),1)</f>
        <v>-0.99556196460308</v>
      </c>
      <c r="J201" s="9" t="str">
        <f>IF($B$7&gt;1,COMPLEX($E201,0),1)</f>
        <v>-0.99556196460308</v>
      </c>
      <c r="K201" s="9" t="str">
        <f>IF($B$7&gt;1,COMPLEX(0,$D201*$B$17),0)</f>
        <v>13.4571984644847i</v>
      </c>
      <c r="L201" s="9" t="str">
        <f>IF($B$7&gt;1,COMPLEX(0,$D201/$B$17),0)</f>
        <v>6.58114291695169E-004i</v>
      </c>
      <c r="M201" s="9" t="str">
        <f>IF($B$7&gt;1,COMPLEX($E201,0),1)</f>
        <v>-0.99556196460308</v>
      </c>
      <c r="N201" s="9" t="str">
        <f>IF($B$7&gt;2,COMPLEX($E201,0),1)</f>
        <v>-0.99556196460308</v>
      </c>
      <c r="O201" s="9" t="str">
        <f>IF($B$7&gt;2,COMPLEX(0,$D201*$B$18),0)</f>
        <v>16.0922952156974i</v>
      </c>
      <c r="P201" s="9" t="str">
        <f>IF($B$7&gt;2,COMPLEX(0,$D201/$B$18),0)</f>
        <v>5.5034875491326E-004i</v>
      </c>
      <c r="Q201" s="9" t="str">
        <f>IF($B$7&gt;2,COMPLEX($E201,0),1)</f>
        <v>-0.99556196460308</v>
      </c>
      <c r="R201" s="9" t="str">
        <f>IF($B$7&gt;3,COMPLEX($E201,0),1)</f>
        <v>-0.99556196460308</v>
      </c>
      <c r="S201" s="9" t="str">
        <f>IF($B$7&gt;3,COMPLEX(0,$D201*$B$19),0)</f>
        <v>19.2433786268807i</v>
      </c>
      <c r="T201" s="9" t="str">
        <f>IF($B$7&gt;3,COMPLEX(0,$D201/$B$19),0)</f>
        <v>4.60229713678468E-004i</v>
      </c>
      <c r="U201" s="9" t="str">
        <f>IF($B$7&gt;3,COMPLEX($E201,0),1)</f>
        <v>-0.99556196460308</v>
      </c>
      <c r="V201" s="9" t="str">
        <f>IF($B$7&gt;4,COMPLEX($E201,0),1)</f>
        <v>-0.99556196460308</v>
      </c>
      <c r="W201" s="9" t="str">
        <f>IF($B$7&gt;4,COMPLEX(0,$D201*$B$20),0)</f>
        <v>23.0114856839234i</v>
      </c>
      <c r="X201" s="9" t="str">
        <f>IF($B$7&gt;4,COMPLEX(0,$D201/$B$20),0)</f>
        <v>3.84867572537614E-004i</v>
      </c>
      <c r="Y201" s="9" t="str">
        <f>IF($B$7&gt;4,COMPLEX($E201,0),1)</f>
        <v>-0.99556196460308</v>
      </c>
      <c r="Z201" s="9" t="str">
        <f>IF($B$7&gt;5,COMPLEX($E201,0),1)</f>
        <v>-0.99556196460308</v>
      </c>
      <c r="AA201" s="9" t="str">
        <f>IF($B$7&gt;5,COMPLEX(0,$D201*$B$21),0)</f>
        <v>27.517437745663i</v>
      </c>
      <c r="AB201" s="9" t="str">
        <f>IF($B$7&gt;5,COMPLEX(0,$D201/$B$21),0)</f>
        <v>3.21845904313948E-004i</v>
      </c>
      <c r="AC201" s="9" t="str">
        <f>IF($B$7&gt;5,COMPLEX($E201,0),1)</f>
        <v>-0.99556196460308</v>
      </c>
      <c r="AD201" s="9" t="str">
        <f>IF($B$7&gt;6,COMPLEX($E201,0),1)</f>
        <v>-0.99556196460308</v>
      </c>
      <c r="AE201" s="9" t="str">
        <f>IF($B$7&gt;6,COMPLEX(0,$D201*$B$22),0)</f>
        <v>32.9057145847585i</v>
      </c>
      <c r="AF201" s="9" t="str">
        <f>IF($B$7&gt;6,COMPLEX(0,$D201/$B$22),0)</f>
        <v>2.69143969289694E-004i</v>
      </c>
      <c r="AG201" s="9" t="str">
        <f>IF($B$7&gt;6,COMPLEX($E201,0),1)</f>
        <v>-0.99556196460308</v>
      </c>
      <c r="AH201" s="9" t="str">
        <f>IF($B$7&gt;7,COMPLEX($E201,0),1)</f>
        <v>-0.99556196460308</v>
      </c>
      <c r="AI201" s="9" t="str">
        <f>IF($B$7&gt;7,COMPLEX(0,$D201*$B$23),0)</f>
        <v>39.3490870168042i</v>
      </c>
      <c r="AJ201" s="9" t="str">
        <f>IF($B$7&gt;7,COMPLEX(0,$D201/$B$23),0)</f>
        <v>2.25071921792582E-004i</v>
      </c>
      <c r="AK201" s="9" t="str">
        <f>IF($B$7&gt;7,COMPLEX($E201,0),1)</f>
        <v>-0.99556196460308</v>
      </c>
      <c r="AL201" s="4" t="str">
        <f>IMSUM(IMPRODUCT(F201,J201),IMPRODUCT(G201,L201))</f>
        <v>0.983737472944794</v>
      </c>
      <c r="AM201" s="5" t="str">
        <f>IMSUM(IMPRODUCT(F201,K201),IMPRODUCT(G201,M201))</f>
        <v>-24.6011271731966i</v>
      </c>
      <c r="AN201" s="5" t="str">
        <f>IMSUM(IMPRODUCT(H201,J201),IMPRODUCT(I201,L201))</f>
        <v>-1.43868264468915E-003i</v>
      </c>
      <c r="AO201" s="5" t="str">
        <f>IMSUM(IMPRODUCT(H201,K201),IMPRODUCT(I201,M201))</f>
        <v>0.980553055896716</v>
      </c>
      <c r="AP201" s="4" t="str">
        <f>IMSUM(IMPRODUCT(AL201,N201),IMPRODUCT(AM201,P201))</f>
        <v>-0.965832411509357</v>
      </c>
      <c r="AQ201" s="5" t="str">
        <f>IMSUM(IMPRODUCT(AL201,O201),IMPRODUCT(AM201,Q201))</f>
        <v>40.3225403293696i</v>
      </c>
      <c r="AR201" s="5" t="str">
        <f>IMSUM(IMPRODUCT(AN201,N201),IMPRODUCT(AO201,P201))</f>
        <v>1.97194387362624E-003i</v>
      </c>
      <c r="AS201" s="5" t="str">
        <f>IMSUM(IMPRODUCT(AN201,O201),IMPRODUCT(AO201,Q201))</f>
        <v>-0.95304962088605</v>
      </c>
      <c r="AT201" s="4" t="str">
        <f>IMSUM(IMPRODUCT(AP201,R201),IMPRODUCT(AQ201,T201))</f>
        <v>0.942988381889012</v>
      </c>
      <c r="AU201" s="5" t="str">
        <f>IMSUM(IMPRODUCT(AP201,S201),IMPRODUCT(AQ201,U201))</f>
        <v>-58.7294662528819i</v>
      </c>
      <c r="AV201" s="5" t="str">
        <f>IMSUM(IMPRODUCT(AR201,R201),IMPRODUCT(AS201,T201))</f>
        <v>-2.40181407105611E-003i</v>
      </c>
      <c r="AW201" s="5" t="str">
        <f>IMSUM(IMPRODUCT(AR201,S201),IMPRODUCT(AS201,U201))</f>
        <v>0.91087309034239</v>
      </c>
      <c r="AX201" s="4" t="str">
        <f>IMSUM(IMPRODUCT(AT201,V201),IMPRODUCT(AU201,X201))</f>
        <v>-0.916200298958128</v>
      </c>
      <c r="AY201" s="5" t="str">
        <f>IMSUM(IMPRODUCT(AT201,W201),IMPRODUCT(AU201,Y201))</f>
        <v>80.1683864527545i</v>
      </c>
      <c r="AZ201" s="5" t="str">
        <f>IMSUM(IMPRODUCT(AV201,V201),IMPRODUCT(AW201,X201))</f>
        <v>2.74172025036185E-003i</v>
      </c>
      <c r="BA201" s="5" t="str">
        <f>IMSUM(IMPRODUCT(AV201,W201),IMPRODUCT(AW201,Y201))</f>
        <v>-0.851561293213795</v>
      </c>
      <c r="BB201" s="4" t="str">
        <f>IMSUM(IMPRODUCT(AX201,Z201),IMPRODUCT(AY201,AB201))</f>
        <v>0.886332302765406</v>
      </c>
      <c r="BC201" s="5" t="str">
        <f>IMSUM(IMPRODUCT(AX201,AA201),IMPRODUCT(AY201,AC201))</f>
        <v>-105.024081005101i</v>
      </c>
      <c r="BD201" s="5" t="str">
        <f>IMSUM(IMPRODUCT(AZ201,Z201),IMPRODUCT(BA201,AB201))</f>
        <v>-3.00362391333544E-003i</v>
      </c>
      <c r="BE201" s="5" t="str">
        <f>IMSUM(IMPRODUCT(AZ201,AA201),IMPRODUCT(BA201,AC201))</f>
        <v>0.772336917746509</v>
      </c>
      <c r="BF201" s="4" t="str">
        <f>IMSUM(IMPRODUCT(BB201,AD201),IMPRODUCT(BC201,AF201))</f>
        <v>-0.854132130599585</v>
      </c>
      <c r="BG201" s="5" t="str">
        <f>IMSUM(IMPRODUCT(BB201,AE201),IMPRODUCT(BC201,AG201))</f>
        <v>133.723378198121i</v>
      </c>
      <c r="BH201" s="5" t="str">
        <f>IMSUM(IMPRODUCT(BD201,AD201),IMPRODUCT(BE201,AF201))</f>
        <v>3.19816354776028E-003i</v>
      </c>
      <c r="BI201" s="5" t="str">
        <f>IMSUM(IMPRODUCT(BD201,AE201),IMPRODUCT(BE201,AG201))</f>
        <v>-0.670072867955031</v>
      </c>
      <c r="BJ201" s="4" t="str">
        <f>IMSUM(IMPRODUCT(BF201,AH201),IMPRODUCT(BG201,AJ201))</f>
        <v>0.82024408425069</v>
      </c>
      <c r="BK201" s="5" t="str">
        <f>IMSUM(IMPRODUCT(BF201,AI201),IMPRODUCT(BG201,AK201))</f>
        <v>-166.739228643093i</v>
      </c>
      <c r="BL201" s="5" t="str">
        <f>IMSUM(IMPRODUCT(BH201,AH201),IMPRODUCT(BI201,AJ201))</f>
        <v>-3.33478457286189E-003i</v>
      </c>
      <c r="BM201" s="5" t="str">
        <f>IMSUM(IMPRODUCT(BH201,AI201),IMPRODUCT(BI201,AK201))</f>
        <v>0.541254245113741</v>
      </c>
      <c r="BN201" s="4">
        <f t="shared" si="12"/>
        <v>500</v>
      </c>
      <c r="BO201" s="4">
        <v>1</v>
      </c>
      <c r="BP201" s="4" t="str">
        <f>IMSUM(IMPRODUCT($BJ201,$BN201),IMPRODUCT($BK201,$BO201))</f>
        <v>410.122042125345-166.739228643093i</v>
      </c>
      <c r="BQ201" s="4" t="str">
        <f>IMSUM(IMPRODUCT($BL201,$BN201),IMPRODUCT($BM201,$BO201))</f>
        <v>0.541254245113741-1.66739228643094i</v>
      </c>
      <c r="BR201" s="4" t="str">
        <f>IMDIV($BP201,$BQ201)</f>
        <v>162.699341139846+193.152106841976i</v>
      </c>
      <c r="BS201" s="4" t="str">
        <f>IMDIV(IMSUB($BQ$100,$BR201),IMSUM($BQ$100,$BR201))</f>
        <v>-0.505826557263432-0.363345569104828i</v>
      </c>
      <c r="BT201" s="4">
        <f>IMABS($BS201)</f>
        <v>0.6228005367861266</v>
      </c>
      <c r="BU201" s="4">
        <f t="shared" si="13"/>
        <v>4.302234480821604</v>
      </c>
      <c r="BV201" s="4">
        <f t="shared" si="14"/>
        <v>-2.1316379128412923</v>
      </c>
    </row>
    <row r="202" spans="1:74" ht="12.75">
      <c r="A202" s="5">
        <v>99</v>
      </c>
      <c r="B202" s="5">
        <f t="shared" si="9"/>
        <v>19.6</v>
      </c>
      <c r="C202" s="4">
        <f t="shared" si="8"/>
        <v>3.0787608005179976</v>
      </c>
      <c r="D202" s="4">
        <f t="shared" si="10"/>
        <v>0.06279051952931314</v>
      </c>
      <c r="E202" s="5">
        <f t="shared" si="11"/>
        <v>-0.9980267284282716</v>
      </c>
      <c r="F202" s="9" t="str">
        <f>IF($B$7&gt;0,COMPLEX($E202,0),1)</f>
        <v>-0.998026728428272</v>
      </c>
      <c r="G202" s="9" t="str">
        <f>IF($B$7&gt;0,COMPLEX(0,$D202*$B$16),0)</f>
        <v>7.50857304868774i</v>
      </c>
      <c r="H202" s="9" t="str">
        <f>IF($B$7&gt;0,COMPLEX(0,$D202/$B$16),0)</f>
        <v>5.25086366902977E-004i</v>
      </c>
      <c r="I202" s="9" t="str">
        <f>IF($B$7&gt;0,COMPLEX($E202,0),1)</f>
        <v>-0.998026728428272</v>
      </c>
      <c r="J202" s="9" t="str">
        <f>IF($B$7&gt;1,COMPLEX($E202,0),1)</f>
        <v>-0.998026728428272</v>
      </c>
      <c r="K202" s="9" t="str">
        <f>IF($B$7&gt;1,COMPLEX(0,$D202*$B$17),0)</f>
        <v>8.97885057331945i</v>
      </c>
      <c r="L202" s="9" t="str">
        <f>IF($B$7&gt;1,COMPLEX(0,$D202/$B$17),0)</f>
        <v>4.391040156606E-004i</v>
      </c>
      <c r="M202" s="9" t="str">
        <f>IF($B$7&gt;1,COMPLEX($E202,0),1)</f>
        <v>-0.998026728428272</v>
      </c>
      <c r="N202" s="9" t="str">
        <f>IF($B$7&gt;2,COMPLEX($E202,0),1)</f>
        <v>-0.998026728428272</v>
      </c>
      <c r="O202" s="9" t="str">
        <f>IF($B$7&gt;2,COMPLEX(0,$D202*$B$18),0)</f>
        <v>10.7370278074459i</v>
      </c>
      <c r="P202" s="9" t="str">
        <f>IF($B$7&gt;2,COMPLEX(0,$D202/$B$18),0)</f>
        <v>3.67201185790626E-004i</v>
      </c>
      <c r="Q202" s="9" t="str">
        <f>IF($B$7&gt;2,COMPLEX($E202,0),1)</f>
        <v>-0.998026728428272</v>
      </c>
      <c r="R202" s="9" t="str">
        <f>IF($B$7&gt;3,COMPLEX($E202,0),1)</f>
        <v>-0.998026728428272</v>
      </c>
      <c r="S202" s="9" t="str">
        <f>IF($B$7&gt;3,COMPLEX(0,$D202*$B$19),0)</f>
        <v>12.839479307121i</v>
      </c>
      <c r="T202" s="9" t="str">
        <f>IF($B$7&gt;3,COMPLEX(0,$D202/$B$19),0)</f>
        <v>3.07072370183611E-004i</v>
      </c>
      <c r="U202" s="9" t="str">
        <f>IF($B$7&gt;3,COMPLEX($E202,0),1)</f>
        <v>-0.998026728428272</v>
      </c>
      <c r="V202" s="9" t="str">
        <f>IF($B$7&gt;4,COMPLEX($E202,0),1)</f>
        <v>-0.998026728428272</v>
      </c>
      <c r="W202" s="9" t="str">
        <f>IF($B$7&gt;4,COMPLEX(0,$D202*$B$20),0)</f>
        <v>15.3536185091805i</v>
      </c>
      <c r="X202" s="9" t="str">
        <f>IF($B$7&gt;4,COMPLEX(0,$D202/$B$20),0)</f>
        <v>2.56789586142419E-004i</v>
      </c>
      <c r="Y202" s="9" t="str">
        <f>IF($B$7&gt;4,COMPLEX($E202,0),1)</f>
        <v>-0.998026728428272</v>
      </c>
      <c r="Z202" s="9" t="str">
        <f>IF($B$7&gt;5,COMPLEX($E202,0),1)</f>
        <v>-0.998026728428272</v>
      </c>
      <c r="AA202" s="9" t="str">
        <f>IF($B$7&gt;5,COMPLEX(0,$D202*$B$21),0)</f>
        <v>18.3600592895313i</v>
      </c>
      <c r="AB202" s="9" t="str">
        <f>IF($B$7&gt;5,COMPLEX(0,$D202/$B$21),0)</f>
        <v>2.14740556148918E-004i</v>
      </c>
      <c r="AC202" s="9" t="str">
        <f>IF($B$7&gt;5,COMPLEX($E202,0),1)</f>
        <v>-0.998026728428272</v>
      </c>
      <c r="AD202" s="9" t="str">
        <f>IF($B$7&gt;6,COMPLEX($E202,0),1)</f>
        <v>-0.998026728428272</v>
      </c>
      <c r="AE202" s="9" t="str">
        <f>IF($B$7&gt;6,COMPLEX(0,$D202*$B$22),0)</f>
        <v>21.95520078303i</v>
      </c>
      <c r="AF202" s="9" t="str">
        <f>IF($B$7&gt;6,COMPLEX(0,$D202/$B$22),0)</f>
        <v>1.79577011466389E-004i</v>
      </c>
      <c r="AG202" s="9" t="str">
        <f>IF($B$7&gt;6,COMPLEX($E202,0),1)</f>
        <v>-0.998026728428272</v>
      </c>
      <c r="AH202" s="9" t="str">
        <f>IF($B$7&gt;7,COMPLEX($E202,0),1)</f>
        <v>-0.998026728428272</v>
      </c>
      <c r="AI202" s="9" t="str">
        <f>IF($B$7&gt;7,COMPLEX(0,$D202*$B$23),0)</f>
        <v>26.2543183451488i</v>
      </c>
      <c r="AJ202" s="9" t="str">
        <f>IF($B$7&gt;7,COMPLEX(0,$D202/$B$23),0)</f>
        <v>1.50171460973755E-004i</v>
      </c>
      <c r="AK202" s="9" t="str">
        <f>IF($B$7&gt;7,COMPLEX($E202,0),1)</f>
        <v>-0.998026728428272</v>
      </c>
      <c r="AL202" s="4" t="str">
        <f>IMSUM(IMPRODUCT(F202,J202),IMPRODUCT(G202,L202))</f>
        <v>0.99276030607968</v>
      </c>
      <c r="AM202" s="5" t="str">
        <f>IMSUM(IMPRODUCT(F202,K202),IMPRODUCT(G202,M202))</f>
        <v>-16.4548894576828i</v>
      </c>
      <c r="AN202" s="5" t="str">
        <f>IMSUM(IMPRODUCT(H202,J202),IMPRODUCT(I202,L202))</f>
        <v>-9.6228777309193E-004i</v>
      </c>
      <c r="AO202" s="5" t="str">
        <f>IMSUM(IMPRODUCT(H202,K202),IMPRODUCT(I202,M202))</f>
        <v>0.991342678630731</v>
      </c>
      <c r="AP202" s="4" t="str">
        <f>IMSUM(IMPRODUCT(AL202,N202),IMPRODUCT(AM202,P202))</f>
        <v>-0.984759065469238</v>
      </c>
      <c r="AQ202" s="5" t="str">
        <f>IMSUM(IMPRODUCT(AL202,O202),IMPRODUCT(AM202,Q202))</f>
        <v>27.081714504606i</v>
      </c>
      <c r="AR202" s="5" t="str">
        <f>IMSUM(IMPRODUCT(AN202,N202),IMPRODUCT(AO202,P202))</f>
        <v>1.32441112510353E-003i</v>
      </c>
      <c r="AS202" s="5" t="str">
        <f>IMSUM(IMPRODUCT(AN202,O202),IMPRODUCT(AO202,Q202))</f>
        <v>-0.979054379726695</v>
      </c>
      <c r="AT202" s="4" t="str">
        <f>IMSUM(IMPRODUCT(AP202,R202),IMPRODUCT(AQ202,T202))</f>
        <v>0.974499822138781</v>
      </c>
      <c r="AU202" s="5" t="str">
        <f>IMSUM(IMPRODUCT(AP202,S202),IMPRODUCT(AQ202,U202))</f>
        <v>-39.6720685708525i</v>
      </c>
      <c r="AV202" s="5" t="str">
        <f>IMSUM(IMPRODUCT(AR202,R202),IMPRODUCT(AS202,T202))</f>
        <v>-1.6224382512024E-003i</v>
      </c>
      <c r="AW202" s="5" t="str">
        <f>IMSUM(IMPRODUCT(AR202,S202),IMPRODUCT(AS202,U202))</f>
        <v>0.960117690317117</v>
      </c>
      <c r="AX202" s="4" t="str">
        <f>IMSUM(IMPRODUCT(AT202,V202),IMPRODUCT(AU202,X202))</f>
        <v>-0.962389495273378</v>
      </c>
      <c r="AY202" s="5" t="str">
        <f>IMSUM(IMPRODUCT(AT202,W202),IMPRODUCT(AU202,Y202))</f>
        <v>54.5558833121331i</v>
      </c>
      <c r="AZ202" s="5" t="str">
        <f>IMSUM(IMPRODUCT(AV202,V202),IMPRODUCT(AW202,X202))</f>
        <v>1.86578496426897E-003i</v>
      </c>
      <c r="BA202" s="5" t="str">
        <f>IMSUM(IMPRODUCT(AV202,W202),IMPRODUCT(AW202,Y202))</f>
        <v>-0.933312819409637</v>
      </c>
      <c r="BB202" s="4" t="str">
        <f>IMSUM(IMPRODUCT(AX202,Z202),IMPRODUCT(AY202,AB202))</f>
        <v>0.948775078717782</v>
      </c>
      <c r="BC202" s="5" t="str">
        <f>IMSUM(IMPRODUCT(AX202,AA202),IMPRODUCT(AY202,AC202))</f>
        <v>-72.1177579313641i</v>
      </c>
      <c r="BD202" s="5" t="str">
        <f>IMSUM(IMPRODUCT(AZ202,Z202),IMPRODUCT(BA202,AB202))</f>
        <v>-2.06252337774096E-003i</v>
      </c>
      <c r="BE202" s="5" t="str">
        <f>IMSUM(IMPRODUCT(AZ202,AA202),IMPRODUCT(BA202,AC202))</f>
        <v>0.897215217190073</v>
      </c>
      <c r="BF202" s="4" t="str">
        <f>IMSUM(IMPRODUCT(BB202,AD202),IMPRODUCT(BC202,AF202))</f>
        <v>-0.933952196384013</v>
      </c>
      <c r="BG202" s="5" t="str">
        <f>IMSUM(IMPRODUCT(BB202,AE202),IMPRODUCT(BC202,AG202))</f>
        <v>92.8059973610054i</v>
      </c>
      <c r="BH202" s="5" t="str">
        <f>IMSUM(IMPRODUCT(BD202,AD202),IMPRODUCT(BE202,AF202))</f>
        <v>2.2195726863388E-003i</v>
      </c>
      <c r="BI202" s="5" t="str">
        <f>IMSUM(IMPRODUCT(BD202,AE202),IMPRODUCT(BE202,AG202))</f>
        <v>-0.850161653030274</v>
      </c>
      <c r="BJ202" s="4" t="str">
        <f>IMSUM(IMPRODUCT(BF202,AH202),IMPRODUCT(BG202,AJ202))</f>
        <v>0.918172442854706</v>
      </c>
      <c r="BK202" s="5" t="str">
        <f>IMSUM(IMPRODUCT(BF202,AI202),IMPRODUCT(BG202,AK202))</f>
        <v>-117.143144207744i</v>
      </c>
      <c r="BL202" s="5" t="str">
        <f>IMSUM(IMPRODUCT(BH202,AH202),IMPRODUCT(BI202,AJ202))</f>
        <v>-2.34286288415488E-003i</v>
      </c>
      <c r="BM202" s="5" t="str">
        <f>IMSUM(IMPRODUCT(BH202,AI202),IMPRODUCT(BI202,AK202))</f>
        <v>0.79021068531164</v>
      </c>
      <c r="BN202" s="4">
        <f t="shared" si="12"/>
        <v>500</v>
      </c>
      <c r="BO202" s="4">
        <v>1</v>
      </c>
      <c r="BP202" s="4" t="str">
        <f>IMSUM(IMPRODUCT($BJ202,$BN202),IMPRODUCT($BK202,$BO202))</f>
        <v>459.086221427353-117.143144207744i</v>
      </c>
      <c r="BQ202" s="4" t="str">
        <f>IMSUM(IMPRODUCT($BL202,$BN202),IMPRODUCT($BM202,$BO202))</f>
        <v>0.79021068531164-1.17143144207744i</v>
      </c>
      <c r="BR202" s="4" t="str">
        <f>IMDIV($BP202,$BQ202)</f>
        <v>250.415119319997+222.979774141861i</v>
      </c>
      <c r="BS202" s="4" t="str">
        <f>IMDIV(IMSUB($BQ$100,$BR202),IMSUM($BQ$100,$BR202))</f>
        <v>-0.593746883920244-0.258511185943345i</v>
      </c>
      <c r="BT202" s="4">
        <f>IMABS($BS202)</f>
        <v>0.6475827324927946</v>
      </c>
      <c r="BU202" s="4">
        <f t="shared" si="13"/>
        <v>4.67509082102258</v>
      </c>
      <c r="BV202" s="4">
        <f t="shared" si="14"/>
        <v>-2.360955887854867</v>
      </c>
    </row>
    <row r="203" spans="1:74" ht="12.75">
      <c r="A203" s="5">
        <v>100</v>
      </c>
      <c r="B203" s="5">
        <f t="shared" si="9"/>
        <v>19.8</v>
      </c>
      <c r="C203" s="4">
        <f t="shared" si="8"/>
        <v>3.1101767270538954</v>
      </c>
      <c r="D203" s="4">
        <f t="shared" si="10"/>
        <v>0.031410759078128236</v>
      </c>
      <c r="E203" s="5">
        <f t="shared" si="11"/>
        <v>-0.9995065603657315</v>
      </c>
      <c r="F203" s="9" t="str">
        <f>IF($B$7&gt;0,COMPLEX($E203,0),1)</f>
        <v>-0.999506560365731</v>
      </c>
      <c r="G203" s="9" t="str">
        <f>IF($B$7&gt;0,COMPLEX(0,$D203*$B$16),0)</f>
        <v>3.75613995266838i</v>
      </c>
      <c r="H203" s="9" t="str">
        <f>IF($B$7&gt;0,COMPLEX(0,$D203/$B$16),0)</f>
        <v>2.62672796620185E-004i</v>
      </c>
      <c r="I203" s="9" t="str">
        <f>IF($B$7&gt;0,COMPLEX($E203,0),1)</f>
        <v>-0.999506560365731</v>
      </c>
      <c r="J203" s="9" t="str">
        <f>IF($B$7&gt;1,COMPLEX($E203,0),1)</f>
        <v>-0.999506560365731</v>
      </c>
      <c r="K203" s="9" t="str">
        <f>IF($B$7&gt;1,COMPLEX(0,$D203*$B$17),0)</f>
        <v>4.49164164066817i</v>
      </c>
      <c r="L203" s="9" t="str">
        <f>IF($B$7&gt;1,COMPLEX(0,$D203/$B$17),0)</f>
        <v>2.19660396976248E-004i</v>
      </c>
      <c r="M203" s="9" t="str">
        <f>IF($B$7&gt;1,COMPLEX($E203,0),1)</f>
        <v>-0.999506560365731</v>
      </c>
      <c r="N203" s="9" t="str">
        <f>IF($B$7&gt;2,COMPLEX($E203,0),1)</f>
        <v>-0.999506560365731</v>
      </c>
      <c r="O203" s="9" t="str">
        <f>IF($B$7&gt;2,COMPLEX(0,$D203*$B$18),0)</f>
        <v>5.3711642490456i</v>
      </c>
      <c r="P203" s="9" t="str">
        <f>IF($B$7&gt;2,COMPLEX(0,$D203/$B$18),0)</f>
        <v>1.83691233430356E-004i</v>
      </c>
      <c r="Q203" s="9" t="str">
        <f>IF($B$7&gt;2,COMPLEX($E203,0),1)</f>
        <v>-0.999506560365731</v>
      </c>
      <c r="R203" s="9" t="str">
        <f>IF($B$7&gt;3,COMPLEX($E203,0),1)</f>
        <v>-0.999506560365731</v>
      </c>
      <c r="S203" s="9" t="str">
        <f>IF($B$7&gt;3,COMPLEX(0,$D203*$B$19),0)</f>
        <v>6.42290897141429i</v>
      </c>
      <c r="T203" s="9" t="str">
        <f>IF($B$7&gt;3,COMPLEX(0,$D203/$B$19),0)</f>
        <v>1.53611983332681E-004i</v>
      </c>
      <c r="U203" s="9" t="str">
        <f>IF($B$7&gt;3,COMPLEX($E203,0),1)</f>
        <v>-0.999506560365731</v>
      </c>
      <c r="V203" s="9" t="str">
        <f>IF($B$7&gt;4,COMPLEX($E203,0),1)</f>
        <v>-0.999506560365731</v>
      </c>
      <c r="W203" s="9" t="str">
        <f>IF($B$7&gt;4,COMPLEX(0,$D203*$B$20),0)</f>
        <v>7.68059916663403i</v>
      </c>
      <c r="X203" s="9" t="str">
        <f>IF($B$7&gt;4,COMPLEX(0,$D203/$B$20),0)</f>
        <v>1.28458179428286E-004i</v>
      </c>
      <c r="Y203" s="9" t="str">
        <f>IF($B$7&gt;4,COMPLEX($E203,0),1)</f>
        <v>-0.999506560365731</v>
      </c>
      <c r="Z203" s="9" t="str">
        <f>IF($B$7&gt;5,COMPLEX($E203,0),1)</f>
        <v>-0.999506560365731</v>
      </c>
      <c r="AA203" s="9" t="str">
        <f>IF($B$7&gt;5,COMPLEX(0,$D203*$B$21),0)</f>
        <v>9.18456167151778i</v>
      </c>
      <c r="AB203" s="9" t="str">
        <f>IF($B$7&gt;5,COMPLEX(0,$D203/$B$21),0)</f>
        <v>1.07423284980912E-004i</v>
      </c>
      <c r="AC203" s="9" t="str">
        <f>IF($B$7&gt;5,COMPLEX($E203,0),1)</f>
        <v>-0.999506560365731</v>
      </c>
      <c r="AD203" s="9" t="str">
        <f>IF($B$7&gt;6,COMPLEX($E203,0),1)</f>
        <v>-0.999506560365731</v>
      </c>
      <c r="AE203" s="9" t="str">
        <f>IF($B$7&gt;6,COMPLEX(0,$D203*$B$22),0)</f>
        <v>10.9830198488124i</v>
      </c>
      <c r="AF203" s="9" t="str">
        <f>IF($B$7&gt;6,COMPLEX(0,$D203/$B$22),0)</f>
        <v>8.98328328133634E-005i</v>
      </c>
      <c r="AG203" s="9" t="str">
        <f>IF($B$7&gt;6,COMPLEX($E203,0),1)</f>
        <v>-0.999506560365731</v>
      </c>
      <c r="AH203" s="9" t="str">
        <f>IF($B$7&gt;7,COMPLEX($E203,0),1)</f>
        <v>-0.999506560365731</v>
      </c>
      <c r="AI203" s="9" t="str">
        <f>IF($B$7&gt;7,COMPLEX(0,$D203*$B$23),0)</f>
        <v>13.1336398310093i</v>
      </c>
      <c r="AJ203" s="9" t="str">
        <f>IF($B$7&gt;7,COMPLEX(0,$D203/$B$23),0)</f>
        <v>7.51227990533677E-005i</v>
      </c>
      <c r="AK203" s="9" t="str">
        <f>IF($B$7&gt;7,COMPLEX($E203,0),1)</f>
        <v>-0.999506560365731</v>
      </c>
      <c r="AL203" s="4" t="str">
        <f>IMSUM(IMPRODUCT(F203,J203),IMPRODUCT(G203,L203))</f>
        <v>0.998188289021034</v>
      </c>
      <c r="AM203" s="5" t="str">
        <f>IMSUM(IMPRODUCT(F203,K203),IMPRODUCT(G203,M203))</f>
        <v>-8.2437118110036i</v>
      </c>
      <c r="AN203" s="5" t="str">
        <f>IMSUM(IMPRODUCT(H203,J203),IMPRODUCT(I203,L203))</f>
        <v>-4.82095191281789E-004i</v>
      </c>
      <c r="AO203" s="5" t="str">
        <f>IMSUM(IMPRODUCT(H203,K203),IMPRODUCT(I203,M203))</f>
        <v>0.997833532142965</v>
      </c>
      <c r="AP203" s="4" t="str">
        <f>IMSUM(IMPRODUCT(AL203,N203),IMPRODUCT(AM203,P203))</f>
        <v>-0.99618144576616</v>
      </c>
      <c r="AQ203" s="5" t="str">
        <f>IMSUM(IMPRODUCT(AL203,O203),IMPRODUCT(AM203,Q203))</f>
        <v>13.6010772886683i</v>
      </c>
      <c r="AR203" s="5" t="str">
        <f>IMSUM(IMPRODUCT(AN203,N203),IMPRODUCT(AO203,P203))</f>
        <v>6.6515057868443E-004i</v>
      </c>
      <c r="AS203" s="5" t="str">
        <f>IMSUM(IMPRODUCT(AN203,O203),IMPRODUCT(AO203,Q203))</f>
        <v>-0.994751749073753</v>
      </c>
      <c r="AT203" s="4" t="str">
        <f>IMSUM(IMPRODUCT(AP203,R203),IMPRODUCT(AQ203,T203))</f>
        <v>0.993600601900123</v>
      </c>
      <c r="AU203" s="5" t="str">
        <f>IMSUM(IMPRODUCT(AP203,S203),IMPRODUCT(AQ203,U203))</f>
        <v>-19.9927487232332i</v>
      </c>
      <c r="AV203" s="5" t="str">
        <f>IMSUM(IMPRODUCT(AR203,R203),IMPRODUCT(AS203,T203))</f>
        <v>-8.17628156125023E-004i</v>
      </c>
      <c r="AW203" s="5" t="str">
        <f>IMSUM(IMPRODUCT(AR203,S203),IMPRODUCT(AS203,U203))</f>
        <v>0.989988697515328</v>
      </c>
      <c r="AX203" s="4" t="str">
        <f>IMSUM(IMPRODUCT(AT203,V203),IMPRODUCT(AU203,X203))</f>
        <v>-0.990542087879758</v>
      </c>
      <c r="AY203" s="5" t="str">
        <f>IMSUM(IMPRODUCT(AT203,W203),IMPRODUCT(AU203,Y203))</f>
        <v>27.6143314635364i</v>
      </c>
      <c r="AZ203" s="5" t="str">
        <f>IMSUM(IMPRODUCT(AV203,V203),IMPRODUCT(AW203,X203))</f>
        <v>9.44396851724096E-004i</v>
      </c>
      <c r="BA203" s="5" t="str">
        <f>IMSUM(IMPRODUCT(AV203,W203),IMPRODUCT(AW203,Y203))</f>
        <v>-0.983220323719946</v>
      </c>
      <c r="BB203" s="4" t="str">
        <f>IMSUM(IMPRODUCT(AX203,Z203),IMPRODUCT(AY203,AB203))</f>
        <v>0.987086892955822</v>
      </c>
      <c r="BC203" s="5" t="str">
        <f>IMSUM(IMPRODUCT(AX203,AA203),IMPRODUCT(AY203,AC203))</f>
        <v>-36.6984003522841i</v>
      </c>
      <c r="BD203" s="5" t="str">
        <f>IMSUM(IMPRODUCT(AZ203,Z203),IMPRODUCT(BA203,AB203))</f>
        <v>-1.04955160592097E-003i</v>
      </c>
      <c r="BE203" s="5" t="str">
        <f>IMSUM(IMPRODUCT(AZ203,AA203),IMPRODUCT(BA203,AC203))</f>
        <v>0.974061292715957</v>
      </c>
      <c r="BF203" s="4" t="str">
        <f>IMSUM(IMPRODUCT(BB203,AD203),IMPRODUCT(BC203,AF203))</f>
        <v>-0.983303103897005</v>
      </c>
      <c r="BG203" s="5" t="str">
        <f>IMSUM(IMPRODUCT(BB203,AE203),IMPRODUCT(BC203,AG203))</f>
        <v>47.5214868448724i</v>
      </c>
      <c r="BH203" s="5" t="str">
        <f>IMSUM(IMPRODUCT(BD203,AD203),IMPRODUCT(BE203,AF203))</f>
        <v>1.13653640081892E-003i</v>
      </c>
      <c r="BI203" s="5" t="str">
        <f>IMSUM(IMPRODUCT(BD203,AE203),IMPRODUCT(BE203,AG203))</f>
        <v>-0.962053406147741</v>
      </c>
      <c r="BJ203" s="4" t="str">
        <f>IMSUM(IMPRODUCT(BF203,AH203),IMPRODUCT(BG203,AJ203))</f>
        <v>0.979247956066078</v>
      </c>
      <c r="BK203" s="5" t="str">
        <f>IMSUM(IMPRODUCT(BF203,AI203),IMPRODUCT(BG203,AK203))</f>
        <v>-60.4123866710806i</v>
      </c>
      <c r="BL203" s="5" t="str">
        <f>IMSUM(IMPRODUCT(BH203,AH203),IMPRODUCT(BI203,AJ203))</f>
        <v>-1.20824773342161E-003i</v>
      </c>
      <c r="BM203" s="5" t="str">
        <f>IMSUM(IMPRODUCT(BH203,AI203),IMPRODUCT(BI203,AK203))</f>
        <v>0.946651831123677</v>
      </c>
      <c r="BN203" s="4">
        <f t="shared" si="12"/>
        <v>500</v>
      </c>
      <c r="BO203" s="4">
        <v>1</v>
      </c>
      <c r="BP203" s="4" t="str">
        <f>IMSUM(IMPRODUCT($BJ203,$BN203),IMPRODUCT($BK203,$BO203))</f>
        <v>489.623978033039-60.4123866710806i</v>
      </c>
      <c r="BQ203" s="4" t="str">
        <f>IMSUM(IMPRODUCT($BL203,$BN203),IMPRODUCT($BM203,$BO203))</f>
        <v>0.946651831123677-0.604123866710805i</v>
      </c>
      <c r="BR203" s="4" t="str">
        <f>IMDIV($BP203,$BQ203)</f>
        <v>396.474442777823+189.200803149843i</v>
      </c>
      <c r="BS203" s="4" t="str">
        <f>IMDIV(IMSUB($BQ$100,$BR203),IMSUM($BQ$100,$BR203))</f>
        <v>-0.64824448713807-0.134050053359232i</v>
      </c>
      <c r="BT203" s="4">
        <f>IMABS($BS203)</f>
        <v>0.6619594639481426</v>
      </c>
      <c r="BU203" s="4">
        <f t="shared" si="13"/>
        <v>4.916450208483838</v>
      </c>
      <c r="BV203" s="4">
        <f t="shared" si="14"/>
        <v>-2.5041079136835567</v>
      </c>
    </row>
    <row r="204" spans="1:74" ht="12.75">
      <c r="A204" s="5">
        <v>101</v>
      </c>
      <c r="B204" s="5">
        <f t="shared" si="9"/>
        <v>20</v>
      </c>
      <c r="C204" s="4">
        <f t="shared" si="8"/>
        <v>3.141592653589793</v>
      </c>
      <c r="D204" s="4">
        <f t="shared" si="10"/>
        <v>1.22514845490862E-16</v>
      </c>
      <c r="E204" s="5">
        <f t="shared" si="11"/>
        <v>-1</v>
      </c>
      <c r="F204" s="9" t="str">
        <f>IF($B$7&gt;0,COMPLEX($E204,0),1)</f>
        <v>-1</v>
      </c>
      <c r="G204" s="9" t="str">
        <f>IF($B$7&gt;0,COMPLEX(0,$D204*$B$16),0)</f>
        <v>1.46504866309854E-014i</v>
      </c>
      <c r="H204" s="9" t="str">
        <f>IF($B$7&gt;0,COMPLEX(0,$D204/$B$16),0)</f>
        <v>1.02453165848459E-018i</v>
      </c>
      <c r="I204" s="9" t="str">
        <f>IF($B$7&gt;0,COMPLEX($E204,0),1)</f>
        <v>-1</v>
      </c>
      <c r="J204" s="9" t="str">
        <f>IF($B$7&gt;1,COMPLEX($E204,0),1)</f>
        <v>-1</v>
      </c>
      <c r="K204" s="9" t="str">
        <f>IF($B$7&gt;1,COMPLEX(0,$D204*$B$17),0)</f>
        <v>1.75192449261743E-014i</v>
      </c>
      <c r="L204" s="9" t="str">
        <f>IF($B$7&gt;1,COMPLEX(0,$D204/$B$17),0)</f>
        <v>8.56765655649035E-019i</v>
      </c>
      <c r="M204" s="9" t="str">
        <f>IF($B$7&gt;1,COMPLEX($E204,0),1)</f>
        <v>-1</v>
      </c>
      <c r="N204" s="9" t="str">
        <f>IF($B$7&gt;2,COMPLEX($E204,0),1)</f>
        <v>-1</v>
      </c>
      <c r="O204" s="9" t="str">
        <f>IF($B$7&gt;2,COMPLEX(0,$D204*$B$18),0)</f>
        <v>2.09497438900186E-014i</v>
      </c>
      <c r="P204" s="9" t="str">
        <f>IF($B$7&gt;2,COMPLEX(0,$D204/$B$18),0)</f>
        <v>7.16471162819378E-019i</v>
      </c>
      <c r="Q204" s="9" t="str">
        <f>IF($B$7&gt;2,COMPLEX($E204,0),1)</f>
        <v>-1</v>
      </c>
      <c r="R204" s="9" t="str">
        <f>IF($B$7&gt;3,COMPLEX($E204,0),1)</f>
        <v>-1</v>
      </c>
      <c r="S204" s="9" t="str">
        <f>IF($B$7&gt;3,COMPLEX(0,$D204*$B$19),0)</f>
        <v>2.50519797460935E-014i</v>
      </c>
      <c r="T204" s="9" t="str">
        <f>IF($B$7&gt;3,COMPLEX(0,$D204/$B$19),0)</f>
        <v>5.99149748553918E-019i</v>
      </c>
      <c r="U204" s="9" t="str">
        <f>IF($B$7&gt;3,COMPLEX($E204,0),1)</f>
        <v>-1</v>
      </c>
      <c r="V204" s="9" t="str">
        <f>IF($B$7&gt;4,COMPLEX($E204,0),1)</f>
        <v>-1</v>
      </c>
      <c r="W204" s="9" t="str">
        <f>IF($B$7&gt;4,COMPLEX(0,$D204*$B$20),0)</f>
        <v>2.99574874276959E-014i</v>
      </c>
      <c r="X204" s="9" t="str">
        <f>IF($B$7&gt;4,COMPLEX(0,$D204/$B$20),0)</f>
        <v>5.01039594921871E-019i</v>
      </c>
      <c r="Y204" s="9" t="str">
        <f>IF($B$7&gt;4,COMPLEX($E204,0),1)</f>
        <v>-1</v>
      </c>
      <c r="Z204" s="9" t="str">
        <f>IF($B$7&gt;5,COMPLEX($E204,0),1)</f>
        <v>-1</v>
      </c>
      <c r="AA204" s="9" t="str">
        <f>IF($B$7&gt;5,COMPLEX(0,$D204*$B$21),0)</f>
        <v>3.58235581409689E-014i</v>
      </c>
      <c r="AB204" s="9" t="str">
        <f>IF($B$7&gt;5,COMPLEX(0,$D204/$B$21),0)</f>
        <v>4.18994877800372E-019i</v>
      </c>
      <c r="AC204" s="9" t="str">
        <f>IF($B$7&gt;5,COMPLEX($E204,0),1)</f>
        <v>-1</v>
      </c>
      <c r="AD204" s="9" t="str">
        <f>IF($B$7&gt;6,COMPLEX($E204,0),1)</f>
        <v>-1</v>
      </c>
      <c r="AE204" s="9" t="str">
        <f>IF($B$7&gt;6,COMPLEX(0,$D204*$B$22),0)</f>
        <v>4.28382827824517E-014i</v>
      </c>
      <c r="AF204" s="9" t="str">
        <f>IF($B$7&gt;6,COMPLEX(0,$D204/$B$22),0)</f>
        <v>3.50384898523487E-019i</v>
      </c>
      <c r="AG204" s="9" t="str">
        <f>IF($B$7&gt;6,COMPLEX($E204,0),1)</f>
        <v>-1</v>
      </c>
      <c r="AH204" s="9" t="str">
        <f>IF($B$7&gt;7,COMPLEX($E204,0),1)</f>
        <v>-1</v>
      </c>
      <c r="AI204" s="9" t="str">
        <f>IF($B$7&gt;7,COMPLEX(0,$D204*$B$23),0)</f>
        <v>5.12265829242295E-014i</v>
      </c>
      <c r="AJ204" s="9" t="str">
        <f>IF($B$7&gt;7,COMPLEX(0,$D204/$B$23),0)</f>
        <v>2.93009732619708E-019i</v>
      </c>
      <c r="AK204" s="9" t="str">
        <f>IF($B$7&gt;7,COMPLEX($E204,0),1)</f>
        <v>-1</v>
      </c>
      <c r="AL204" s="4" t="str">
        <f>IMSUM(IMPRODUCT(F204,J204),IMPRODUCT(G204,L204))</f>
        <v>1</v>
      </c>
      <c r="AM204" s="5" t="str">
        <f>IMSUM(IMPRODUCT(F204,K204),IMPRODUCT(G204,M204))</f>
        <v>-3.21697315571597E-014i</v>
      </c>
      <c r="AN204" s="5" t="str">
        <f>IMSUM(IMPRODUCT(H204,J204),IMPRODUCT(I204,L204))</f>
        <v>-1.88129731413363E-018i</v>
      </c>
      <c r="AO204" s="5" t="str">
        <f>IMSUM(IMPRODUCT(H204,K204),IMPRODUCT(I204,M204))</f>
        <v>1</v>
      </c>
      <c r="AP204" s="4" t="str">
        <f>IMSUM(IMPRODUCT(AL204,N204),IMPRODUCT(AM204,P204))</f>
        <v>-1</v>
      </c>
      <c r="AQ204" s="5" t="str">
        <f>IMSUM(IMPRODUCT(AL204,O204),IMPRODUCT(AM204,Q204))</f>
        <v>5.31194754471783E-014i</v>
      </c>
      <c r="AR204" s="5" t="str">
        <f>IMSUM(IMPRODUCT(AN204,N204),IMPRODUCT(AO204,P204))</f>
        <v>2.59776847695301E-018i</v>
      </c>
      <c r="AS204" s="5" t="str">
        <f>IMSUM(IMPRODUCT(AN204,O204),IMPRODUCT(AO204,Q204))</f>
        <v>-1</v>
      </c>
      <c r="AT204" s="4" t="str">
        <f>IMSUM(IMPRODUCT(AP204,R204),IMPRODUCT(AQ204,T204))</f>
        <v>1</v>
      </c>
      <c r="AU204" s="5" t="str">
        <f>IMSUM(IMPRODUCT(AP204,S204),IMPRODUCT(AQ204,U204))</f>
        <v>-7.81714551932718E-014i</v>
      </c>
      <c r="AV204" s="5" t="str">
        <f>IMSUM(IMPRODUCT(AR204,R204),IMPRODUCT(AS204,T204))</f>
        <v>-3.19691822550693E-018i</v>
      </c>
      <c r="AW204" s="5" t="str">
        <f>IMSUM(IMPRODUCT(AR204,S204),IMPRODUCT(AS204,U204))</f>
        <v>1</v>
      </c>
      <c r="AX204" s="4" t="str">
        <f>IMSUM(IMPRODUCT(AT204,V204),IMPRODUCT(AU204,X204))</f>
        <v>-1</v>
      </c>
      <c r="AY204" s="5" t="str">
        <f>IMSUM(IMPRODUCT(AT204,W204),IMPRODUCT(AU204,Y204))</f>
        <v>1.08128942620968E-013i</v>
      </c>
      <c r="AZ204" s="5" t="str">
        <f>IMSUM(IMPRODUCT(AV204,V204),IMPRODUCT(AW204,X204))</f>
        <v>3.6979578204288E-018i</v>
      </c>
      <c r="BA204" s="5" t="str">
        <f>IMSUM(IMPRODUCT(AV204,W204),IMPRODUCT(AW204,Y204))</f>
        <v>-1</v>
      </c>
      <c r="BB204" s="4" t="str">
        <f>IMSUM(IMPRODUCT(AX204,Z204),IMPRODUCT(AY204,AB204))</f>
        <v>1</v>
      </c>
      <c r="BC204" s="5" t="str">
        <f>IMSUM(IMPRODUCT(AX204,AA204),IMPRODUCT(AY204,AC204))</f>
        <v>-1.43952500761937E-013i</v>
      </c>
      <c r="BD204" s="5" t="str">
        <f>IMSUM(IMPRODUCT(AZ204,Z204),IMPRODUCT(BA204,AB204))</f>
        <v>-4.11695269822917E-018i</v>
      </c>
      <c r="BE204" s="5" t="str">
        <f>IMSUM(IMPRODUCT(AZ204,AA204),IMPRODUCT(BA204,AC204))</f>
        <v>1</v>
      </c>
      <c r="BF204" s="4" t="str">
        <f>IMSUM(IMPRODUCT(BB204,AD204),IMPRODUCT(BC204,AF204))</f>
        <v>-1</v>
      </c>
      <c r="BG204" s="5" t="str">
        <f>IMSUM(IMPRODUCT(BB204,AE204),IMPRODUCT(BC204,AG204))</f>
        <v>1.86790783544389E-013i</v>
      </c>
      <c r="BH204" s="5" t="str">
        <f>IMSUM(IMPRODUCT(BD204,AD204),IMPRODUCT(BE204,AF204))</f>
        <v>4.46733759675266E-018i</v>
      </c>
      <c r="BI204" s="5" t="str">
        <f>IMSUM(IMPRODUCT(BD204,AE204),IMPRODUCT(BE204,AG204))</f>
        <v>-1</v>
      </c>
      <c r="BJ204" s="4" t="str">
        <f>IMSUM(IMPRODUCT(BF204,AH204),IMPRODUCT(BG204,AJ204))</f>
        <v>1</v>
      </c>
      <c r="BK204" s="5" t="str">
        <f>IMSUM(IMPRODUCT(BF204,AI204),IMPRODUCT(BG204,AK204))</f>
        <v>-2.38017366468618E-013i</v>
      </c>
      <c r="BL204" s="5" t="str">
        <f>IMSUM(IMPRODUCT(BH204,AH204),IMPRODUCT(BI204,AJ204))</f>
        <v>-4.76034732937237E-018i</v>
      </c>
      <c r="BM204" s="5" t="str">
        <f>IMSUM(IMPRODUCT(BH204,AI204),IMPRODUCT(BI204,AK204))</f>
        <v>1</v>
      </c>
      <c r="BN204" s="4">
        <f t="shared" si="12"/>
        <v>500</v>
      </c>
      <c r="BO204" s="4">
        <v>1</v>
      </c>
      <c r="BP204" s="4" t="str">
        <f>IMSUM(IMPRODUCT($BJ204,$BN204),IMPRODUCT($BK204,$BO204))</f>
        <v>500-2.38017366468618E-013i</v>
      </c>
      <c r="BQ204" s="4" t="str">
        <f>IMSUM(IMPRODUCT($BL204,$BN204),IMPRODUCT($BM204,$BO204))</f>
        <v>1-2.38017366468618E-015i</v>
      </c>
      <c r="BR204" s="4" t="str">
        <f>IMDIV($BP204,$BQ204)</f>
        <v>500+9.52069465874472E-013i</v>
      </c>
      <c r="BS204" s="4" t="str">
        <f>IMDIV(IMSUB($BQ$100,$BR204),IMSUM($BQ$100,$BR204))</f>
        <v>-0.666666666666667-5.28927481041373E-016i</v>
      </c>
      <c r="BT204" s="4">
        <f>IMABS($BS204)</f>
        <v>0.666666666666667</v>
      </c>
      <c r="BU204" s="4">
        <f t="shared" si="13"/>
        <v>5.000000000000005</v>
      </c>
      <c r="BV204" s="4">
        <f t="shared" si="14"/>
        <v>-2.552725051033064</v>
      </c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Transformer Calculator</dc:title>
  <dc:subject/>
  <dc:creator>The Professor</dc:creator>
  <cp:keywords/>
  <dc:description/>
  <cp:lastModifiedBy>Steven C Rein</cp:lastModifiedBy>
  <cp:lastPrinted>2005-11-01T17:58:42Z</cp:lastPrinted>
  <dcterms:created xsi:type="dcterms:W3CDTF">2004-09-01T18:14:28Z</dcterms:created>
  <dcterms:modified xsi:type="dcterms:W3CDTF">2005-11-01T18:03:44Z</dcterms:modified>
  <cp:category/>
  <cp:version/>
  <cp:contentType/>
  <cp:contentStatus/>
</cp:coreProperties>
</file>